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75" windowWidth="14715" windowHeight="5865" tabRatio="865" activeTab="0"/>
  </bookViews>
  <sheets>
    <sheet name="FY 2008 TABLE 15" sheetId="1" r:id="rId1"/>
    <sheet name="Fiscal Year 2008 Worksheet" sheetId="2" r:id="rId2"/>
    <sheet name="Fiscal Year 2009 Worksheet" sheetId="3" r:id="rId3"/>
    <sheet name="Fiscal Year 2010 Worksheet" sheetId="4" r:id="rId4"/>
    <sheet name="Division Source" sheetId="5" state="hidden" r:id="rId5"/>
    <sheet name="Source Data" sheetId="6" state="hidden" r:id="rId6"/>
  </sheets>
  <definedNames>
    <definedName name="Comparison" hidden="1">{"'do017lst'!$A$1:$D$267"}</definedName>
    <definedName name="HTML_Cntrl" hidden="1">{"'do017lst'!$A$1:$D$267"}</definedName>
    <definedName name="HTML_CodePage" hidden="1">1252</definedName>
    <definedName name="HTML_Control" localSheetId="1" hidden="1">{"'do017lst'!$A$1:$D$267"}</definedName>
    <definedName name="HTML_Control" localSheetId="5" hidden="1">{"'do017lst'!$A$1:$D$267"}</definedName>
    <definedName name="HTML_Control" hidden="1">{"'do017lst'!$A$1:$D$267"}</definedName>
    <definedName name="HTML_Description" hidden="1">"1998 - 1999 Dropout Statistics"</definedName>
    <definedName name="HTML_Email" hidden="1">""</definedName>
    <definedName name="HTML_Header" hidden="1">"Virginia Department of Education"</definedName>
    <definedName name="HTML_LastUpdate" hidden="1">"2/3/2000"</definedName>
    <definedName name="HTML_LineAfter" hidden="1">FALSE</definedName>
    <definedName name="HTML_LineBefore" hidden="1">FALSE</definedName>
    <definedName name="HTML_Name" hidden="1">"Virginia Dept. of Education"</definedName>
    <definedName name="HTML_OBDlg2" hidden="1">TRUE</definedName>
    <definedName name="HTML_OBDlg4" hidden="1">TRUE</definedName>
    <definedName name="HTML_OS" hidden="1">0</definedName>
    <definedName name="HTML_PathFile" hidden="1">"H:\adhoc\dropouts\1998 repts\do9899.htm"</definedName>
    <definedName name="HTML_Title" hidden="1">"Va Dept of Education -- Dropouts"</definedName>
    <definedName name="htmll_cntrl" hidden="1">{"'do017lst'!$A$1:$D$267"}</definedName>
    <definedName name="_xlnm.Print_Area" localSheetId="1">'Fiscal Year 2008 Worksheet'!$A$1:$H$52</definedName>
    <definedName name="_xlnm.Print_Area" localSheetId="2">'Fiscal Year 2009 Worksheet'!$A$1:$H$52</definedName>
    <definedName name="_xlnm.Print_Area" localSheetId="3">'Fiscal Year 2010 Worksheet'!$A$1:$H$52</definedName>
    <definedName name="_xlnm.Print_Area" localSheetId="0">'FY 2008 TABLE 15'!$A$1:$M$154</definedName>
    <definedName name="_xlnm.Print_Titles" localSheetId="0">'FY 2008 TABLE 15'!$1:$9</definedName>
  </definedNames>
  <calcPr fullCalcOnLoad="1"/>
</workbook>
</file>

<file path=xl/comments2.xml><?xml version="1.0" encoding="utf-8"?>
<comments xmlns="http://schemas.openxmlformats.org/spreadsheetml/2006/main">
  <authors>
    <author>Brian K. Logwood</author>
  </authors>
  <commentList>
    <comment ref="A8" authorId="0">
      <text>
        <r>
          <rPr>
            <b/>
            <u val="single"/>
            <sz val="11"/>
            <rFont val="Tahoma"/>
            <family val="2"/>
          </rPr>
          <t>TOTAL EXPENDITURES FOR OPERATIONS DEFINED AS:</t>
        </r>
        <r>
          <rPr>
            <b/>
            <sz val="11"/>
            <rFont val="Tahoma"/>
            <family val="2"/>
          </rPr>
          <t xml:space="preserve">   </t>
        </r>
        <r>
          <rPr>
            <sz val="11"/>
            <rFont val="Tahoma"/>
            <family val="2"/>
          </rPr>
          <t xml:space="preserve">
</t>
        </r>
        <r>
          <rPr>
            <sz val="8"/>
            <rFont val="Tahoma"/>
            <family val="2"/>
          </rPr>
          <t xml:space="preserve">
</t>
        </r>
        <r>
          <rPr>
            <sz val="11"/>
            <rFont val="Tahoma"/>
            <family val="2"/>
          </rPr>
          <t xml:space="preserve">
From the Annual School Report Financial Section (ASRFIN) the sum of all expenditures in ASRFIN functions between 61100 and 69950; excluding functions 67100, 68900, and 69900;
ASRFIN Programs 1 through 7 only (exclude programs 8 and 9);
Exclude object code 8200, 8210, and 8220 from all functions; 
Exclude object code 8100 from the Facilities function only (functions 66100 through 66600);
Exclude object codes 8110 and 8120 from Technology (Activity 68800);
Exclude object code 8100 from Contingency Reserve (Activity 69800); and,
Exclude the following function-object combinations:
  - Function 67200 - Objection Code 9400
  - Function 67200 - Objection Code 9800
  - Function 67300 - Objection Code 9600
  - Function 67300 - Objection Codes 9700, 9710, 9720, 9730, 9740</t>
        </r>
      </text>
    </comment>
    <comment ref="A14" authorId="0">
      <text>
        <r>
          <rPr>
            <b/>
            <u val="single"/>
            <sz val="11"/>
            <rFont val="Tahoma"/>
            <family val="2"/>
          </rPr>
          <t xml:space="preserve">Excludes the following revenue source codes: </t>
        </r>
        <r>
          <rPr>
            <b/>
            <sz val="11"/>
            <rFont val="Tahoma"/>
            <family val="2"/>
          </rPr>
          <t xml:space="preserve">
</t>
        </r>
        <r>
          <rPr>
            <sz val="11"/>
            <rFont val="Tahoma"/>
            <family val="2"/>
          </rPr>
          <t>Virginia Preschool Initiative (240281)
Pre K Pilot Programs (240392)
Virginia Preschool Inititiative-Start-up Expansion Grants (240397)
Special Education Hospitals, Clinics and Detention Homes (240220)
State Sales Tax (240308 and 240312, which are included below)
Special Education  in Jails (240295)
Also excludes expenditures reported as Inter-Agency Fund Transfer - Transfer to Regional Program (Function 67300 - Objects 9700, 9710, 9720, 9730, 9740).  This exclusion is based on these State funds being "passed-through" the fiscal agent's budget to a regional program.  This amount is also deducted from "Total Expenditures for Operations."</t>
        </r>
      </text>
    </comment>
    <comment ref="A31" authorId="0">
      <text>
        <r>
          <rPr>
            <b/>
            <u val="single"/>
            <sz val="11"/>
            <rFont val="Tahoma"/>
            <family val="2"/>
          </rPr>
          <t xml:space="preserve">Excludes the following federal revenue source codes:  </t>
        </r>
        <r>
          <rPr>
            <b/>
            <sz val="11"/>
            <rFont val="Tahoma"/>
            <family val="2"/>
          </rPr>
          <t xml:space="preserve">
</t>
        </r>
        <r>
          <rPr>
            <sz val="11"/>
            <rFont val="Tahoma"/>
            <family val="2"/>
          </rPr>
          <t xml:space="preserve">Special Education - Preschool (84173)
Head Start (93600)
</t>
        </r>
      </text>
    </comment>
  </commentList>
</comments>
</file>

<file path=xl/comments3.xml><?xml version="1.0" encoding="utf-8"?>
<comments xmlns="http://schemas.openxmlformats.org/spreadsheetml/2006/main">
  <authors>
    <author>Marcy Cotov</author>
    <author>Brian K. Logwood</author>
  </authors>
  <commentList>
    <comment ref="F8" authorId="0">
      <text>
        <r>
          <rPr>
            <sz val="11"/>
            <rFont val="Tahoma"/>
            <family val="2"/>
          </rPr>
          <t>Key in estimated data into yellow shaded cells only.  All other cells will calculate for you.</t>
        </r>
      </text>
    </comment>
    <comment ref="A14" authorId="1">
      <text>
        <r>
          <rPr>
            <b/>
            <u val="single"/>
            <sz val="11"/>
            <rFont val="Tahoma"/>
            <family val="2"/>
          </rPr>
          <t xml:space="preserve">Excludes the following revenue source codes: </t>
        </r>
        <r>
          <rPr>
            <b/>
            <sz val="11"/>
            <rFont val="Tahoma"/>
            <family val="2"/>
          </rPr>
          <t xml:space="preserve">
</t>
        </r>
        <r>
          <rPr>
            <sz val="11"/>
            <rFont val="Tahoma"/>
            <family val="2"/>
          </rPr>
          <t>Virginia Preschool Initiative (240281)
Pre K Pilot Programs (240392)
Virginia Preschool Inititiative-Start-up Expansion Grants (240397)
Special Education Hospitals, Clinics and Detention Homes (240220)
State Sales Tax (240308 and 240312, which are included below)
Special Education in Jails(240295)
Also excludes expenditures reported as Inter-Agency Fund Transfer - Transfer to Regional Program (Function 67300 - Object 9700, 9710, 9720, 9730, 9740).  This exclusion is based on these State funds being "passed-through" the fiscal agent's budget to a regional program.  This amount is also deducted from "Total Expenditures for Operations."</t>
        </r>
      </text>
    </comment>
    <comment ref="A8" authorId="1">
      <text>
        <r>
          <rPr>
            <b/>
            <u val="single"/>
            <sz val="11"/>
            <rFont val="Tahoma"/>
            <family val="2"/>
          </rPr>
          <t>TOTAL EXPENDITURES FOR OPERATIONS DEFINED AS:</t>
        </r>
        <r>
          <rPr>
            <b/>
            <sz val="11"/>
            <rFont val="Tahoma"/>
            <family val="2"/>
          </rPr>
          <t xml:space="preserve">   </t>
        </r>
        <r>
          <rPr>
            <sz val="11"/>
            <rFont val="Tahoma"/>
            <family val="2"/>
          </rPr>
          <t xml:space="preserve">
</t>
        </r>
        <r>
          <rPr>
            <sz val="8"/>
            <rFont val="Tahoma"/>
            <family val="2"/>
          </rPr>
          <t xml:space="preserve">
</t>
        </r>
        <r>
          <rPr>
            <sz val="11"/>
            <rFont val="Tahoma"/>
            <family val="2"/>
          </rPr>
          <t xml:space="preserve">
From the Annual School Report Financial Section (ASRFIN) the sum of all expenditures in ASRFIN functions between 61100 and 69950; excluding functions 67100, 68900, and 69900;
ASRFIN Programs 1 through 7 only (exclude programs 8 and 9);
Exclude object code 8200, 8210, and 8220 from all functions; 
Exclude object code 8100 from the Facilities function only (functions 66100 through 66600);
Exclude object codes 8110 and 8120 from Technology (Activity 68800);
Exclude object code 8100 from Contingency Reserve (Activity 69800); and,
Exclude the following function-object combinations:
  - Function 67200 - Objection Code 9400
  - Function 67200 - Objection Code 9800
  - Function 67300 - Objection Code 9600
  - Function 67300 - Objection Codes 9700, 9710, 9720, 9730, 9740</t>
        </r>
      </text>
    </comment>
    <comment ref="A31" authorId="1">
      <text>
        <r>
          <rPr>
            <b/>
            <u val="single"/>
            <sz val="11"/>
            <rFont val="Tahoma"/>
            <family val="2"/>
          </rPr>
          <t xml:space="preserve">Excludes the following federal revenue source codes:  </t>
        </r>
        <r>
          <rPr>
            <b/>
            <sz val="11"/>
            <rFont val="Tahoma"/>
            <family val="2"/>
          </rPr>
          <t xml:space="preserve">
</t>
        </r>
        <r>
          <rPr>
            <sz val="11"/>
            <rFont val="Tahoma"/>
            <family val="2"/>
          </rPr>
          <t xml:space="preserve">Special Education - Preschool (84173)
Head Start (93600)
</t>
        </r>
      </text>
    </comment>
  </commentList>
</comments>
</file>

<file path=xl/comments4.xml><?xml version="1.0" encoding="utf-8"?>
<comments xmlns="http://schemas.openxmlformats.org/spreadsheetml/2006/main">
  <authors>
    <author>Marcy Cotov</author>
    <author>Brian K. Logwood</author>
  </authors>
  <commentList>
    <comment ref="F8" authorId="0">
      <text>
        <r>
          <rPr>
            <sz val="11"/>
            <rFont val="Tahoma"/>
            <family val="2"/>
          </rPr>
          <t>Key in estimated data into yellow shaded cells only.  All other cells will calculate for you.</t>
        </r>
      </text>
    </comment>
    <comment ref="A14" authorId="1">
      <text>
        <r>
          <rPr>
            <b/>
            <u val="single"/>
            <sz val="11"/>
            <rFont val="Tahoma"/>
            <family val="2"/>
          </rPr>
          <t xml:space="preserve">Excludes the following revenue source codes: </t>
        </r>
        <r>
          <rPr>
            <b/>
            <sz val="11"/>
            <rFont val="Tahoma"/>
            <family val="2"/>
          </rPr>
          <t xml:space="preserve">
</t>
        </r>
        <r>
          <rPr>
            <sz val="11"/>
            <rFont val="Tahoma"/>
            <family val="2"/>
          </rPr>
          <t>Virginia Preschool Initiative (240281)
Pre K Pilot Programs (240392)
Virginia Preschool Inititiative-Start-up Expansion Grants (240397)
Special Education Hospitals, Clinics and Detention Homes (240220)
State Sales Tax (240308 and 240312, which are included below)
Special Education in Jails(240295)
Also excludes expenditures reported as Inter-Agency Fund Transfer - Transfer to Regional Program (Function 67300 - Object 9700, 9710, 9720, 9730, 9740).  This exclusion is based on these State funds being "passed-through" the fiscal agent's budget to a regional program.  This amount is also deducted from "Total Expenditures for Operations."</t>
        </r>
      </text>
    </comment>
    <comment ref="A8" authorId="1">
      <text>
        <r>
          <rPr>
            <b/>
            <u val="single"/>
            <sz val="11"/>
            <rFont val="Tahoma"/>
            <family val="2"/>
          </rPr>
          <t>TOTAL EXPENDITURES FOR OPERATIONS DEFINED AS:</t>
        </r>
        <r>
          <rPr>
            <b/>
            <sz val="11"/>
            <rFont val="Tahoma"/>
            <family val="2"/>
          </rPr>
          <t xml:space="preserve">   </t>
        </r>
        <r>
          <rPr>
            <sz val="11"/>
            <rFont val="Tahoma"/>
            <family val="2"/>
          </rPr>
          <t xml:space="preserve">
</t>
        </r>
        <r>
          <rPr>
            <sz val="8"/>
            <rFont val="Tahoma"/>
            <family val="2"/>
          </rPr>
          <t xml:space="preserve">
</t>
        </r>
        <r>
          <rPr>
            <sz val="11"/>
            <rFont val="Tahoma"/>
            <family val="2"/>
          </rPr>
          <t xml:space="preserve">
From the Annual School Report Financial Section (ASRFIN) the sum of all expenditures in ASRFIN functions between 61100 and 69950; excluding functions 67100, 68900, and 69900;
ASRFIN Programs 1 through 7 only (exclude programs 8 and 9);
Exclude object code 8200, 8210, and 8220 from all functions; 
Exclude object code 8100 from the Facilities function only (functions 66100 through 66600);
Exclude object codes 8110 and 8120 from Technology (Activity 68800);
Exclude object code 8100 from Contingency Reserve (Activity 69800); and,
Exclude the following function-object combinations:
  - Function 67200 - Objection Code 9400
  - Function 67200 - Objection Code 9800
  - Function 67300 - Objection Code 9600
  - Function 67300 - Objection Codes 9700, 9710, 9720, 9730, 9740</t>
        </r>
      </text>
    </comment>
    <comment ref="A31" authorId="1">
      <text>
        <r>
          <rPr>
            <b/>
            <u val="single"/>
            <sz val="11"/>
            <rFont val="Tahoma"/>
            <family val="2"/>
          </rPr>
          <t xml:space="preserve">Excludes the following federal revenue source codes:  </t>
        </r>
        <r>
          <rPr>
            <b/>
            <sz val="11"/>
            <rFont val="Tahoma"/>
            <family val="2"/>
          </rPr>
          <t xml:space="preserve">
</t>
        </r>
        <r>
          <rPr>
            <sz val="11"/>
            <rFont val="Tahoma"/>
            <family val="2"/>
          </rPr>
          <t xml:space="preserve">Special Education - Preschool (84173)
Head Start (93600)
</t>
        </r>
      </text>
    </comment>
  </commentList>
</comments>
</file>

<file path=xl/comments6.xml><?xml version="1.0" encoding="utf-8"?>
<comments xmlns="http://schemas.openxmlformats.org/spreadsheetml/2006/main">
  <authors>
    <author>Virginia Dept. of Education</author>
  </authors>
  <commentList>
    <comment ref="T11" authorId="0">
      <text>
        <r>
          <rPr>
            <b/>
            <sz val="8"/>
            <rFont val="Tahoma"/>
            <family val="0"/>
          </rPr>
          <t>Virginia Dept. of Education:</t>
        </r>
        <r>
          <rPr>
            <sz val="8"/>
            <rFont val="Tahoma"/>
            <family val="0"/>
          </rPr>
          <t xml:space="preserve">
The Fiscal Agenct show all of the sales taxes for both divisions.</t>
        </r>
      </text>
    </comment>
  </commentList>
</comments>
</file>

<file path=xl/sharedStrings.xml><?xml version="1.0" encoding="utf-8"?>
<sst xmlns="http://schemas.openxmlformats.org/spreadsheetml/2006/main" count="995" uniqueCount="650">
  <si>
    <t>Div Num</t>
  </si>
  <si>
    <t>Division</t>
  </si>
  <si>
    <t>2b.  Plus the sum of all Beginning-Year Balances from State funds:</t>
  </si>
  <si>
    <t>2c.  Less the sum of all End-Of-Year Balances from State funds:</t>
  </si>
  <si>
    <t>2e.  Total State Expenditures for Operations:</t>
  </si>
  <si>
    <t>2f.  State Per Pupil Amount:</t>
  </si>
  <si>
    <t>3b.  State Sales Tax Per Pupil Amount</t>
  </si>
  <si>
    <t>4b.  Plus the sum of all Beginning-Year Balances from Federal funds:</t>
  </si>
  <si>
    <t>4c.  Less the sum of all End-Of-Year Balances from Federal funds:</t>
  </si>
  <si>
    <t>6a.  Total Expenditures for Operations:</t>
  </si>
  <si>
    <t>6b.  Total Per Pupil Amount:</t>
  </si>
  <si>
    <t>&lt;SELECT DIVISION&gt;</t>
  </si>
  <si>
    <t>001 - ACCOMACK</t>
  </si>
  <si>
    <t>002 - ALBEMARLE</t>
  </si>
  <si>
    <t>004 - AMELIA</t>
  </si>
  <si>
    <t>005 - AMHERST</t>
  </si>
  <si>
    <t>006 - APPOMATTOX</t>
  </si>
  <si>
    <t>007 - ARLINGTON</t>
  </si>
  <si>
    <t>008 - AUGUSTA</t>
  </si>
  <si>
    <t>009 - BATH</t>
  </si>
  <si>
    <t>011 - BLAND</t>
  </si>
  <si>
    <t>012 - BOTETOURT</t>
  </si>
  <si>
    <t>013 - BRUNSWICK</t>
  </si>
  <si>
    <t>014 - BUCHANAN</t>
  </si>
  <si>
    <t>015 - BUCKINGHAM</t>
  </si>
  <si>
    <t>016 - CAMPBELL</t>
  </si>
  <si>
    <t>017 - CAROLINE</t>
  </si>
  <si>
    <t>018 - CARROLL</t>
  </si>
  <si>
    <t>019 - CHARLES CITY COUNTY</t>
  </si>
  <si>
    <t>020 - CHARLOTTE</t>
  </si>
  <si>
    <t>021 - CHESTERFIELD</t>
  </si>
  <si>
    <t>022 - CLARKE</t>
  </si>
  <si>
    <t>023 - CRAIG</t>
  </si>
  <si>
    <t>024 - CULPEPER</t>
  </si>
  <si>
    <t>025 - CUMBERLAND</t>
  </si>
  <si>
    <t>026 - DICKENSON</t>
  </si>
  <si>
    <t>027 - DINWIDDIE</t>
  </si>
  <si>
    <t>028 - ESSEX</t>
  </si>
  <si>
    <t>030 - FAUQUIER</t>
  </si>
  <si>
    <t>031 - FLOYD</t>
  </si>
  <si>
    <t>032 - FLUVANNA</t>
  </si>
  <si>
    <t>033 - FRANKLIN</t>
  </si>
  <si>
    <t>034 - FREDERICK</t>
  </si>
  <si>
    <t>035 - GILES</t>
  </si>
  <si>
    <t>036 - GLOUCESTER</t>
  </si>
  <si>
    <t>037 - GOOCHLAND</t>
  </si>
  <si>
    <t>038 - GRAYSON</t>
  </si>
  <si>
    <t>039 - GREENE</t>
  </si>
  <si>
    <t>041 - HALIFAX</t>
  </si>
  <si>
    <t>042 - HANOVER</t>
  </si>
  <si>
    <t>043 - HENRICO</t>
  </si>
  <si>
    <t>044 - HENRY</t>
  </si>
  <si>
    <t>045 - HIGHLAND</t>
  </si>
  <si>
    <t>046 - ISLE OF WIGHT</t>
  </si>
  <si>
    <t>048 - KING GEORGE</t>
  </si>
  <si>
    <t>049 - KING AND QUEEN</t>
  </si>
  <si>
    <t>050 - KING WILLIAM</t>
  </si>
  <si>
    <t>051 - LANCASTER</t>
  </si>
  <si>
    <t>052 - LEE</t>
  </si>
  <si>
    <t>053 - LOUDOUN</t>
  </si>
  <si>
    <t>054 - LOUISA</t>
  </si>
  <si>
    <t>055 - LUNENBURG</t>
  </si>
  <si>
    <t>056 - MADISON</t>
  </si>
  <si>
    <t>057 - MATHEWS</t>
  </si>
  <si>
    <t>058 - MECKLENBURG</t>
  </si>
  <si>
    <t>059 - MIDDLESEX</t>
  </si>
  <si>
    <t>060 - MONTGOMERY</t>
  </si>
  <si>
    <t>062 - NELSON</t>
  </si>
  <si>
    <t>063 - NEW KENT</t>
  </si>
  <si>
    <t>065 - NORTHAMPTON</t>
  </si>
  <si>
    <t>066 - NORTHUMBERLAND</t>
  </si>
  <si>
    <t>067 - NOTTOWAY</t>
  </si>
  <si>
    <t>068 - ORANGE</t>
  </si>
  <si>
    <t>069 - PAGE</t>
  </si>
  <si>
    <t>070 - PATRICK</t>
  </si>
  <si>
    <t>071 - PITTSYLVANIA</t>
  </si>
  <si>
    <t>072 - POWHATAN</t>
  </si>
  <si>
    <t>073 - PRINCE EDWARD</t>
  </si>
  <si>
    <t>074 - PRINCE GEORGE</t>
  </si>
  <si>
    <t>075 - PRINCE WILLIAM</t>
  </si>
  <si>
    <t>077 - PULASKI</t>
  </si>
  <si>
    <t>078 - RAPPAHANNOCK</t>
  </si>
  <si>
    <t>079 - RICHMOND</t>
  </si>
  <si>
    <t>080 - ROANOKE</t>
  </si>
  <si>
    <t>081 - ROCKBRIDGE</t>
  </si>
  <si>
    <t>082 - ROCKINGHAM</t>
  </si>
  <si>
    <t>083 - RUSSELL</t>
  </si>
  <si>
    <t>084 - SCOTT</t>
  </si>
  <si>
    <t>085 - SHENANDOAH</t>
  </si>
  <si>
    <t>086 - SMYTH</t>
  </si>
  <si>
    <t>087 - SOUTHAMPTON</t>
  </si>
  <si>
    <t>088 - SPOTSYLVANIA</t>
  </si>
  <si>
    <t>089 - STAFFORD</t>
  </si>
  <si>
    <t>090 - SURRY</t>
  </si>
  <si>
    <t>091 - SUSSEX</t>
  </si>
  <si>
    <t>092 - TAZEWELL</t>
  </si>
  <si>
    <t>093 - WARREN</t>
  </si>
  <si>
    <t>094 - WASHINGTON</t>
  </si>
  <si>
    <t>095 - WESTMORELAND</t>
  </si>
  <si>
    <t>096 - WISE</t>
  </si>
  <si>
    <t>097 - WYTHE</t>
  </si>
  <si>
    <t>098 - YORK</t>
  </si>
  <si>
    <t>101 - ALEXANDRIA CITY</t>
  </si>
  <si>
    <t>102 - BRISTOL CITY</t>
  </si>
  <si>
    <t>103 - BUENA VISTA CITY</t>
  </si>
  <si>
    <t>104 - CHARLOTTESVILLE CITY</t>
  </si>
  <si>
    <t>106 - COLONIAL HEIGHTS CITY</t>
  </si>
  <si>
    <t>107 - COVINGTON CITY</t>
  </si>
  <si>
    <t>108 - DANVILLE CITY</t>
  </si>
  <si>
    <t>109 - FALLS CHURCH CITY</t>
  </si>
  <si>
    <t>110 - FREDERICKSBURG CITY</t>
  </si>
  <si>
    <t>111 - GALAX CITY</t>
  </si>
  <si>
    <t>112 - HAMPTON CITY</t>
  </si>
  <si>
    <t>113 - HARRISONBURG CITY</t>
  </si>
  <si>
    <t>114 - HOPEWELL CITY</t>
  </si>
  <si>
    <t>115 - LYNCHBURG CITY</t>
  </si>
  <si>
    <t>116 - MARTINSVILLE CITY</t>
  </si>
  <si>
    <t>117 - NEWPORT NEWS CITY</t>
  </si>
  <si>
    <t>118 - NORFOLK CITY</t>
  </si>
  <si>
    <t>119 - NORTON CITY</t>
  </si>
  <si>
    <t>120 - PETERSBURG CITY</t>
  </si>
  <si>
    <t>121 - PORTSMOUTH CITY</t>
  </si>
  <si>
    <t>122 - RADFORD CITY</t>
  </si>
  <si>
    <t>123 - RICHMOND CITY</t>
  </si>
  <si>
    <t>124 - ROANOKE CITY</t>
  </si>
  <si>
    <t>126 - STAUNTON CITY</t>
  </si>
  <si>
    <t>127 - SUFFOLK CITY</t>
  </si>
  <si>
    <t>128 - VIRGINIA BEACH CITY</t>
  </si>
  <si>
    <t>130 - WAYNESBORO CITY</t>
  </si>
  <si>
    <t>132 - WINCHESTER CITY</t>
  </si>
  <si>
    <t>134 - FAIRFAX CITY</t>
  </si>
  <si>
    <t>135 - FRANKLIN CITY</t>
  </si>
  <si>
    <t>136 - CHESAPEAKE CITY</t>
  </si>
  <si>
    <t>137 - LEXINGTON CITY</t>
  </si>
  <si>
    <t>139 - SALEM CITY</t>
  </si>
  <si>
    <t>142 - POQUOSON CITY</t>
  </si>
  <si>
    <t>143 - MANASSAS CITY</t>
  </si>
  <si>
    <t>144 - MANASSAS PARK CITY</t>
  </si>
  <si>
    <t>202 - COLONIAL BEACH</t>
  </si>
  <si>
    <t>207 - WEST POINT</t>
  </si>
  <si>
    <t>SUPERINTENDENT'S ANNUAL REPORT FOR VIRGINIA</t>
  </si>
  <si>
    <t>5b.  Local Per Pupil Amount:</t>
  </si>
  <si>
    <t>End-of-Year</t>
  </si>
  <si>
    <t>ADM for</t>
  </si>
  <si>
    <t>State Retail Sales</t>
  </si>
  <si>
    <t>Determining</t>
  </si>
  <si>
    <t>State</t>
  </si>
  <si>
    <t>Total</t>
  </si>
  <si>
    <t>Cost Per</t>
  </si>
  <si>
    <t>Per</t>
  </si>
  <si>
    <t>Expenditures for</t>
  </si>
  <si>
    <t>Per Pupil</t>
  </si>
  <si>
    <t>Amount</t>
  </si>
  <si>
    <t>Pupil</t>
  </si>
  <si>
    <t>COUNTIES</t>
  </si>
  <si>
    <t>Albemarle</t>
  </si>
  <si>
    <t>Amelia</t>
  </si>
  <si>
    <t>Amherst</t>
  </si>
  <si>
    <t>Appomattox</t>
  </si>
  <si>
    <t>Arlington</t>
  </si>
  <si>
    <t>Augusta</t>
  </si>
  <si>
    <t>Bath</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</si>
  <si>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</si>
  <si>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</si>
  <si>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</si>
  <si>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</si>
  <si>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</si>
  <si>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</si>
  <si>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</si>
  <si>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</si>
  <si>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</si>
  <si>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</si>
  <si>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</si>
  <si>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</si>
  <si>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</si>
  <si>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</si>
  <si>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</si>
  <si>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</si>
  <si>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</si>
  <si>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</si>
  <si>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Fauquier</t>
  </si>
  <si>
    <t>Floyd</t>
  </si>
  <si>
    <t>Fluvanna</t>
  </si>
  <si>
    <t>Franklin</t>
  </si>
  <si>
    <t>Frederick</t>
  </si>
  <si>
    <t>Giles</t>
  </si>
  <si>
    <t>Gloucester</t>
  </si>
  <si>
    <t>Goochland</t>
  </si>
  <si>
    <t>Grayson</t>
  </si>
  <si>
    <t>Greene</t>
  </si>
  <si>
    <t>Halifax</t>
  </si>
  <si>
    <t>Hanover</t>
  </si>
  <si>
    <t>Henrico</t>
  </si>
  <si>
    <t>Henry</t>
  </si>
  <si>
    <t>Highland</t>
  </si>
  <si>
    <t>Isle Of Wight</t>
  </si>
  <si>
    <t>King &amp; Queen</t>
  </si>
  <si>
    <t>King George</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</si>
  <si>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</si>
  <si>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</si>
  <si>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</si>
  <si>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</si>
  <si>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</si>
  <si>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</si>
  <si>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</si>
  <si>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</si>
  <si>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</si>
  <si>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</si>
  <si>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</si>
  <si>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</si>
  <si>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</si>
  <si>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</si>
  <si>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</si>
  <si>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</si>
  <si>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</si>
  <si>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</si>
  <si>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</si>
  <si>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</si>
  <si>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</si>
  <si>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</si>
  <si>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</si>
  <si>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</si>
  <si>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</si>
  <si>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</si>
  <si>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</si>
  <si>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</si>
  <si>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</si>
  <si>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</si>
  <si>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</si>
  <si>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</si>
  <si>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</si>
  <si>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</si>
  <si>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</si>
  <si>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</si>
  <si>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</si>
  <si>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</si>
  <si>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</si>
  <si>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</si>
  <si>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</si>
  <si>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</si>
  <si>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</si>
  <si>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</si>
  <si>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</si>
  <si>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</si>
  <si>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CITIES</t>
  </si>
  <si>
    <t>Alexandria</t>
  </si>
  <si>
    <t>Bristol</t>
  </si>
  <si>
    <t>Buena Vista</t>
  </si>
  <si>
    <t>Charlottesville</t>
  </si>
  <si>
    <t>Chesapeake</t>
  </si>
  <si>
    <t>Covington</t>
  </si>
  <si>
    <t>Danville</t>
  </si>
  <si>
    <t>Falls Church</t>
  </si>
  <si>
    <t>Galax</t>
  </si>
  <si>
    <t>Hampton</t>
  </si>
  <si>
    <t>Harrisonburg</t>
  </si>
  <si>
    <t>Hopewell</t>
  </si>
  <si>
    <t>Lexington</t>
  </si>
  <si>
    <t>Lynchburg</t>
  </si>
  <si>
    <t>Manassas</t>
  </si>
  <si>
    <t>Manassas Park</t>
  </si>
  <si>
    <t>Martinsville</t>
  </si>
  <si>
    <t>Newport News</t>
  </si>
  <si>
    <t>Norfolk</t>
  </si>
  <si>
    <t>Norton</t>
  </si>
  <si>
    <t>Petersburg</t>
  </si>
  <si>
    <t>Poquoson</t>
  </si>
  <si>
    <t>Portsmouth</t>
  </si>
  <si>
    <t>Radford</t>
  </si>
  <si>
    <t>Salem</t>
  </si>
  <si>
    <t>Staunton</t>
  </si>
  <si>
    <t>Suffolk</t>
  </si>
  <si>
    <t>Waynesboro</t>
  </si>
  <si>
    <t>Winchester</t>
  </si>
  <si>
    <t>TOWNS</t>
  </si>
  <si>
    <t>Colonial Beach</t>
  </si>
  <si>
    <t>West Point</t>
  </si>
  <si>
    <t>Colonial Heights</t>
  </si>
  <si>
    <t>Fredericksburg</t>
  </si>
  <si>
    <t>Virginia Beach</t>
  </si>
  <si>
    <t>003 - ALLEGHANY</t>
  </si>
  <si>
    <t xml:space="preserve">Table 15 of the Superintendent's Annual Report for Virginia </t>
  </si>
  <si>
    <t>Accomack</t>
  </si>
  <si>
    <t>5a.  Total Local Expenditures for Operations</t>
  </si>
  <si>
    <t>7.  End-Of-Year Average Daily Membership</t>
  </si>
  <si>
    <t>Alleghany</t>
  </si>
  <si>
    <t>School Division</t>
  </si>
  <si>
    <t>DIV NUM</t>
  </si>
  <si>
    <t>DIVISION</t>
  </si>
  <si>
    <t>State Expenditures</t>
  </si>
  <si>
    <t>State PPA</t>
  </si>
  <si>
    <t>Federal Expenditures</t>
  </si>
  <si>
    <t>Federal PPA</t>
  </si>
  <si>
    <t>Local Expenditures</t>
  </si>
  <si>
    <t>Local PPA</t>
  </si>
  <si>
    <t>Total Expenditures</t>
  </si>
  <si>
    <t>Total PPA</t>
  </si>
  <si>
    <t>ACCOMACK</t>
  </si>
  <si>
    <t>ALBEMARLE</t>
  </si>
  <si>
    <t>ALLEGHANY</t>
  </si>
  <si>
    <t>AMELIA</t>
  </si>
  <si>
    <t>AMHERST</t>
  </si>
  <si>
    <t>APPOMATTOX</t>
  </si>
  <si>
    <t>ARLINGTON</t>
  </si>
  <si>
    <t>AUGUSTA</t>
  </si>
  <si>
    <t>BATH</t>
  </si>
  <si>
    <t>BEDFORD</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</si>
  <si>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</si>
  <si>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</si>
  <si>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</si>
  <si>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</si>
  <si>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</si>
  <si>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</si>
  <si>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</si>
  <si>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</si>
  <si>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</si>
  <si>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</si>
  <si>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</si>
  <si>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</si>
  <si>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</si>
  <si>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</si>
  <si>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</si>
  <si>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</si>
  <si>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</si>
  <si>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</si>
  <si>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FAIRFAX</t>
  </si>
  <si>
    <t>FAUQUIER</t>
  </si>
  <si>
    <t>FLOYD</t>
  </si>
  <si>
    <t>FLUVANNA</t>
  </si>
  <si>
    <t>FRANKLIN</t>
  </si>
  <si>
    <t>FREDERICK</t>
  </si>
  <si>
    <t>GILES</t>
  </si>
  <si>
    <t>GLOUCESTER</t>
  </si>
  <si>
    <t>GOOCHLAND</t>
  </si>
  <si>
    <t>GRAYSON</t>
  </si>
  <si>
    <t>GREENE</t>
  </si>
  <si>
    <t>GREENSVILLE</t>
  </si>
  <si>
    <t>HALIFAX</t>
  </si>
  <si>
    <t>HANOVER</t>
  </si>
  <si>
    <t>HENRICO</t>
  </si>
  <si>
    <t>HENRY</t>
  </si>
  <si>
    <t>HIGHLAND</t>
  </si>
  <si>
    <t>ISLE OF WIGHT</t>
  </si>
  <si>
    <t>JAMES CITY</t>
  </si>
  <si>
    <t>KING GEORGE</t>
  </si>
  <si>
    <t>KING QUEEN</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</si>
  <si>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</si>
  <si>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</si>
  <si>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</si>
  <si>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</si>
  <si>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</si>
  <si>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</si>
  <si>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</si>
  <si>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</si>
  <si>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</si>
  <si>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</si>
  <si>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</si>
  <si>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</si>
  <si>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</si>
  <si>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</si>
  <si>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</si>
  <si>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</si>
  <si>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</si>
  <si>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</si>
  <si>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</si>
  <si>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</si>
  <si>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</si>
  <si>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</si>
  <si>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</si>
  <si>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</si>
  <si>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</si>
  <si>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</si>
  <si>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t>
  </si>
  <si>
    <t>ROANOKE</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</si>
  <si>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</si>
  <si>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</si>
  <si>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</si>
  <si>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</si>
  <si>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</si>
  <si>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</si>
  <si>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</si>
  <si>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</si>
  <si>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</si>
  <si>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</si>
  <si>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</si>
  <si>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</si>
  <si>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</si>
  <si>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</si>
  <si>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</si>
  <si>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</si>
  <si>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</si>
  <si>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</si>
  <si>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</si>
  <si>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BRISTOL</t>
  </si>
  <si>
    <t>BUENA VISTA</t>
  </si>
  <si>
    <t>CHARLOTTESVILLE</t>
  </si>
  <si>
    <t>COLONIAL HEIGHTS</t>
  </si>
  <si>
    <t>COVINGTON</t>
  </si>
  <si>
    <t>DANVILLE</t>
  </si>
  <si>
    <t>FALLS CHURCH</t>
  </si>
  <si>
    <t>FREDERICKSBURG</t>
  </si>
  <si>
    <t>GALAX</t>
  </si>
  <si>
    <t>HAMPTON</t>
  </si>
  <si>
    <t>HARRISONBURG</t>
  </si>
  <si>
    <t>HOPEWELL</t>
  </si>
  <si>
    <t>LYNCHBURG</t>
  </si>
  <si>
    <t>MARTINSVILLE</t>
  </si>
  <si>
    <t>NEWPORT NEWS</t>
  </si>
  <si>
    <t>NORFOLK</t>
  </si>
  <si>
    <t>NORTON</t>
  </si>
  <si>
    <t>PETERSBURG</t>
  </si>
  <si>
    <t>PORTSMOUTH</t>
  </si>
  <si>
    <t>RADFORD</t>
  </si>
  <si>
    <t>RICHMOND CITY</t>
  </si>
  <si>
    <t>ROANOKE CITY</t>
  </si>
  <si>
    <t>STAUNTON</t>
  </si>
  <si>
    <t>SUFFOLK</t>
  </si>
  <si>
    <t>VIRGINIA BEACH</t>
  </si>
  <si>
    <t>WAYNESBORO</t>
  </si>
  <si>
    <t>WILLIAMSBURG</t>
  </si>
  <si>
    <t>WINCHESTER</t>
  </si>
  <si>
    <t>FAIRFAX CITY</t>
  </si>
  <si>
    <t>FRANKLIN CITY</t>
  </si>
  <si>
    <t>CHESAPEAKE CITY</t>
  </si>
  <si>
    <t>LEXINGTON</t>
  </si>
  <si>
    <t>EMPORIA</t>
  </si>
  <si>
    <t>SALEM</t>
  </si>
  <si>
    <t>BEDFORD CITY</t>
  </si>
  <si>
    <t>POQUOSON</t>
  </si>
  <si>
    <t>MANASSAS CITY</t>
  </si>
  <si>
    <t>MANASSAS PARK</t>
  </si>
  <si>
    <t>COLONIAL BEACH</t>
  </si>
  <si>
    <t>WEST POINT</t>
  </si>
  <si>
    <t>138 - EMPORIA CITY</t>
  </si>
  <si>
    <t>140 - BEFORD CITY</t>
  </si>
  <si>
    <t>1c.  Total expenditures for operations:</t>
  </si>
  <si>
    <t>4f.  Federal Per Pupil Amount:</t>
  </si>
  <si>
    <t>4e.  Total Federal Expenditures for Operations:</t>
  </si>
  <si>
    <r>
      <t xml:space="preserve">2a.  Less State Revenues: </t>
    </r>
    <r>
      <rPr>
        <sz val="12"/>
        <color indexed="10"/>
        <rFont val="Arial"/>
        <family val="2"/>
      </rPr>
      <t xml:space="preserve"> </t>
    </r>
    <r>
      <rPr>
        <sz val="10"/>
        <color indexed="10"/>
        <rFont val="Arial"/>
        <family val="2"/>
      </rPr>
      <t>(see cell comment)</t>
    </r>
  </si>
  <si>
    <r>
      <t xml:space="preserve">4a.  Less Federal Revenues:  </t>
    </r>
    <r>
      <rPr>
        <sz val="10"/>
        <color indexed="10"/>
        <rFont val="Arial"/>
        <family val="2"/>
      </rPr>
      <t>(see cell comment)</t>
    </r>
  </si>
  <si>
    <r>
      <t xml:space="preserve">1a.  Expenditures for operations: </t>
    </r>
    <r>
      <rPr>
        <sz val="12"/>
        <color indexed="10"/>
        <rFont val="Arial"/>
        <family val="2"/>
      </rPr>
      <t xml:space="preserve"> </t>
    </r>
    <r>
      <rPr>
        <sz val="10"/>
        <color indexed="10"/>
        <rFont val="Arial"/>
        <family val="2"/>
      </rPr>
      <t>(see cell comment)</t>
    </r>
  </si>
  <si>
    <r>
      <t>1</t>
    </r>
    <r>
      <rPr>
        <sz val="10"/>
        <rFont val="Arial"/>
        <family val="2"/>
      </rPr>
      <t xml:space="preserve">  Operations include regular day school, school food services, summer school, adult education, and other education, but do not include pre-kindergarten, non-regular day school programs, non-local education agency (LEA) programs, debt service, or capital outlay additions.  Non-LEA programs include expenditures made by a school division for state-operated education programs (in hospitals, clinics, and detention homes) that are located within the school division and reimbursed with state funds.</t>
    </r>
  </si>
  <si>
    <t>131 - WILLIAMSBURG CITY</t>
  </si>
  <si>
    <t>Div</t>
  </si>
  <si>
    <t>State Rev</t>
  </si>
  <si>
    <t>S - BOY</t>
  </si>
  <si>
    <t>S - EOY</t>
  </si>
  <si>
    <t>S - Capital</t>
  </si>
  <si>
    <t>Exp Deduct</t>
  </si>
  <si>
    <t>Total State</t>
  </si>
  <si>
    <t>Sales Tax</t>
  </si>
  <si>
    <t>Federal</t>
  </si>
  <si>
    <t>F - BOY</t>
  </si>
  <si>
    <t>F - EOY</t>
  </si>
  <si>
    <t>F - Capital</t>
  </si>
  <si>
    <t>Total Federal</t>
  </si>
  <si>
    <t>Local</t>
  </si>
  <si>
    <t>Local Tuition Deduct</t>
  </si>
  <si>
    <t>Expenditures</t>
  </si>
  <si>
    <t>Check T-15 State</t>
  </si>
  <si>
    <t>Check T-15 PPA State</t>
  </si>
  <si>
    <t>Check T-15 Federal</t>
  </si>
  <si>
    <t>Check T-15 PPA Federal</t>
  </si>
  <si>
    <t>Check T-15 Local</t>
  </si>
  <si>
    <t>Check T-15 PPA Local</t>
  </si>
  <si>
    <t>Check T-15 Total</t>
  </si>
  <si>
    <t>Check T-15 PPA Total</t>
  </si>
  <si>
    <t xml:space="preserve"> ACCOMACK</t>
  </si>
  <si>
    <t xml:space="preserve"> ALBEMARLE</t>
  </si>
  <si>
    <t xml:space="preserve"> ALLEGHANY</t>
  </si>
  <si>
    <t xml:space="preserve"> AMELIA</t>
  </si>
  <si>
    <t xml:space="preserve"> AMHERST</t>
  </si>
  <si>
    <t xml:space="preserve"> APPOMATTOX</t>
  </si>
  <si>
    <t xml:space="preserve"> ARLINGTON</t>
  </si>
  <si>
    <t xml:space="preserve"> AUGUSTA</t>
  </si>
  <si>
    <t xml:space="preserve"> BATH</t>
  </si>
  <si>
    <t xml:space="preserve"> BLAND</t>
  </si>
  <si>
    <t xml:space="preserve"> BOTETOURT</t>
  </si>
  <si>
    <t xml:space="preserve"> BRUNSWICK</t>
  </si>
  <si>
    <t xml:space="preserve"> BUCHANAN</t>
  </si>
  <si>
    <t xml:space="preserve"> BUCKINGHAM</t>
  </si>
  <si>
    <t xml:space="preserve"> CAMPBELL</t>
  </si>
  <si>
    <t xml:space="preserve"> CAROLINE</t>
  </si>
  <si>
    <t xml:space="preserve"> CARROLL</t>
  </si>
  <si>
    <t xml:space="preserve"> CHARLES CITY COUNTY</t>
  </si>
  <si>
    <t xml:space="preserve"> CHARLOTTE</t>
  </si>
  <si>
    <t xml:space="preserve"> CHESTERFIELD</t>
  </si>
  <si>
    <t xml:space="preserve"> CLARKE</t>
  </si>
  <si>
    <t xml:space="preserve"> CRAIG</t>
  </si>
  <si>
    <t xml:space="preserve"> CULPEPER</t>
  </si>
  <si>
    <t xml:space="preserve"> CUMBERLAND</t>
  </si>
  <si>
    <t xml:space="preserve"> DICKENSON</t>
  </si>
  <si>
    <t xml:space="preserve"> DINWIDDIE</t>
  </si>
  <si>
    <t xml:space="preserve"> ESSEX</t>
  </si>
  <si>
    <t xml:space="preserve"> FAUQUIER</t>
  </si>
  <si>
    <t xml:space="preserve"> FLOYD</t>
  </si>
  <si>
    <t xml:space="preserve"> FLUVANNA</t>
  </si>
  <si>
    <t xml:space="preserve"> FRANKLIN</t>
  </si>
  <si>
    <t xml:space="preserve"> FREDERICK</t>
  </si>
  <si>
    <t xml:space="preserve"> GILES</t>
  </si>
  <si>
    <t xml:space="preserve"> GLOUCESTER</t>
  </si>
  <si>
    <t xml:space="preserve"> GOOCHLAND</t>
  </si>
  <si>
    <t xml:space="preserve"> GRAYSON</t>
  </si>
  <si>
    <t xml:space="preserve"> GREENE</t>
  </si>
  <si>
    <t xml:space="preserve"> HALIFAX</t>
  </si>
  <si>
    <t xml:space="preserve"> HANOVER</t>
  </si>
  <si>
    <t xml:space="preserve"> HENRICO</t>
  </si>
  <si>
    <t xml:space="preserve"> HENRY</t>
  </si>
  <si>
    <t xml:space="preserve"> HIGHLAND</t>
  </si>
  <si>
    <t xml:space="preserve"> ISLE OF WIGHT</t>
  </si>
  <si>
    <t xml:space="preserve"> KING GEORGE</t>
  </si>
  <si>
    <t xml:space="preserve"> KING AND QUEEN</t>
  </si>
  <si>
    <t xml:space="preserve"> KING WILLIAM</t>
  </si>
  <si>
    <t xml:space="preserve"> LANCASTER</t>
  </si>
  <si>
    <t xml:space="preserve"> LEE</t>
  </si>
  <si>
    <t xml:space="preserve"> LOUDOUN</t>
  </si>
  <si>
    <t xml:space="preserve"> LOUISA</t>
  </si>
  <si>
    <t xml:space="preserve"> LUNENBURG</t>
  </si>
  <si>
    <t xml:space="preserve"> MADISON</t>
  </si>
  <si>
    <t xml:space="preserve"> MATHEWS</t>
  </si>
  <si>
    <t xml:space="preserve"> MECKLENBURG</t>
  </si>
  <si>
    <t xml:space="preserve"> MIDDLESEX</t>
  </si>
  <si>
    <t xml:space="preserve"> MONTGOMERY</t>
  </si>
  <si>
    <t xml:space="preserve"> NELSON</t>
  </si>
  <si>
    <t xml:space="preserve"> NEW KENT</t>
  </si>
  <si>
    <t xml:space="preserve"> NORTHAMPTON</t>
  </si>
  <si>
    <t xml:space="preserve"> NORTHUMBERLAND</t>
  </si>
  <si>
    <t xml:space="preserve"> NOTTOWAY</t>
  </si>
  <si>
    <t xml:space="preserve"> ORANGE</t>
  </si>
  <si>
    <t xml:space="preserve"> PAGE</t>
  </si>
  <si>
    <t xml:space="preserve"> PATRICK</t>
  </si>
  <si>
    <t xml:space="preserve"> PITTSYLVANIA</t>
  </si>
  <si>
    <t xml:space="preserve"> POWHATAN</t>
  </si>
  <si>
    <t xml:space="preserve"> PRINCE EDWARD</t>
  </si>
  <si>
    <t xml:space="preserve"> PRINCE GEORGE</t>
  </si>
  <si>
    <t xml:space="preserve"> PRINCE WILLIAM</t>
  </si>
  <si>
    <t xml:space="preserve"> PULASKI</t>
  </si>
  <si>
    <t xml:space="preserve"> RAPPAHANNOCK</t>
  </si>
  <si>
    <t xml:space="preserve"> RICHMOND</t>
  </si>
  <si>
    <t xml:space="preserve"> ROANOKE</t>
  </si>
  <si>
    <t xml:space="preserve"> ROCKBRIDGE</t>
  </si>
  <si>
    <t xml:space="preserve"> ROCKINGHAM</t>
  </si>
  <si>
    <t xml:space="preserve"> RUSSELL</t>
  </si>
  <si>
    <t xml:space="preserve"> SCOTT</t>
  </si>
  <si>
    <t xml:space="preserve"> SHENANDOAH</t>
  </si>
  <si>
    <t xml:space="preserve"> SMYTH</t>
  </si>
  <si>
    <t xml:space="preserve"> SOUTHAMPTON</t>
  </si>
  <si>
    <t xml:space="preserve"> SPOTSYLVANIA</t>
  </si>
  <si>
    <t xml:space="preserve"> STAFFORD</t>
  </si>
  <si>
    <t xml:space="preserve"> SURRY</t>
  </si>
  <si>
    <t xml:space="preserve"> SUSSEX</t>
  </si>
  <si>
    <t xml:space="preserve"> TAZEWELL</t>
  </si>
  <si>
    <t xml:space="preserve"> WARREN</t>
  </si>
  <si>
    <t xml:space="preserve"> WASHINGTON</t>
  </si>
  <si>
    <t xml:space="preserve"> WESTMORELAND</t>
  </si>
  <si>
    <t xml:space="preserve"> WISE</t>
  </si>
  <si>
    <t xml:space="preserve"> WYTHE</t>
  </si>
  <si>
    <t xml:space="preserve"> YORK</t>
  </si>
  <si>
    <t xml:space="preserve"> ALEXANDRIA CITY</t>
  </si>
  <si>
    <t xml:space="preserve"> BRISTOL CITY</t>
  </si>
  <si>
    <t xml:space="preserve"> BUENA VISTA CITY</t>
  </si>
  <si>
    <t xml:space="preserve"> CHARLOTTESVILLE CITY</t>
  </si>
  <si>
    <t xml:space="preserve"> COLONIAL HEIGHTS CITY</t>
  </si>
  <si>
    <t xml:space="preserve"> COVINGTON CITY</t>
  </si>
  <si>
    <t xml:space="preserve"> DANVILLE CITY</t>
  </si>
  <si>
    <t xml:space="preserve"> FALLS CHURCH CITY</t>
  </si>
  <si>
    <t xml:space="preserve"> FREDERICKSBURG CITY</t>
  </si>
  <si>
    <t xml:space="preserve"> GALAX CITY</t>
  </si>
  <si>
    <t xml:space="preserve"> HAMPTON CITY</t>
  </si>
  <si>
    <t xml:space="preserve"> HARRISONBURG CITY</t>
  </si>
  <si>
    <t xml:space="preserve"> HOPEWELL CITY</t>
  </si>
  <si>
    <t xml:space="preserve"> LYNCHBURG CITY</t>
  </si>
  <si>
    <t xml:space="preserve"> MARTINSVILLE CITY</t>
  </si>
  <si>
    <t xml:space="preserve"> NEWPORT NEWS CITY</t>
  </si>
  <si>
    <t xml:space="preserve"> NORFOLK CITY</t>
  </si>
  <si>
    <t xml:space="preserve"> NORTON CITY</t>
  </si>
  <si>
    <t xml:space="preserve"> PETERSBURG CITY</t>
  </si>
  <si>
    <t xml:space="preserve"> PORTSMOUTH CITY</t>
  </si>
  <si>
    <t xml:space="preserve"> RADFORD CITY</t>
  </si>
  <si>
    <t xml:space="preserve"> RICHMOND CITY</t>
  </si>
  <si>
    <t xml:space="preserve"> ROANOKE CITY</t>
  </si>
  <si>
    <t xml:space="preserve"> STAUNTON CITY</t>
  </si>
  <si>
    <t xml:space="preserve"> SUFFOLK CITY</t>
  </si>
  <si>
    <t xml:space="preserve"> VIRGINIA BEACH CITY</t>
  </si>
  <si>
    <t xml:space="preserve"> WAYNESBORO CITY</t>
  </si>
  <si>
    <t xml:space="preserve"> WILLIAMSBURG CITY</t>
  </si>
  <si>
    <t xml:space="preserve"> WINCHESTER CITY</t>
  </si>
  <si>
    <t xml:space="preserve"> FAIRFAX CITY</t>
  </si>
  <si>
    <t xml:space="preserve"> FRANKLIN CITY</t>
  </si>
  <si>
    <t xml:space="preserve"> CHESAPEAKE CITY</t>
  </si>
  <si>
    <t xml:space="preserve"> LEXINGTON CITY</t>
  </si>
  <si>
    <t xml:space="preserve"> EMPORIA CITY</t>
  </si>
  <si>
    <t xml:space="preserve"> SALEM CITY</t>
  </si>
  <si>
    <t xml:space="preserve"> BEFORD CITY</t>
  </si>
  <si>
    <t xml:space="preserve"> POQUOSON CITY</t>
  </si>
  <si>
    <t xml:space="preserve"> MANASSAS CITY</t>
  </si>
  <si>
    <t xml:space="preserve"> MANASSAS PARK CITY</t>
  </si>
  <si>
    <t xml:space="preserve"> COLONIAL BEACH</t>
  </si>
  <si>
    <t xml:space="preserve"> WEST POINT</t>
  </si>
  <si>
    <r>
      <t xml:space="preserve">Pupil </t>
    </r>
    <r>
      <rPr>
        <vertAlign val="superscript"/>
        <sz val="9"/>
        <rFont val="Arial"/>
        <family val="2"/>
      </rPr>
      <t>2</t>
    </r>
  </si>
  <si>
    <r>
      <t xml:space="preserve">Local </t>
    </r>
    <r>
      <rPr>
        <b/>
        <vertAlign val="superscript"/>
        <sz val="9"/>
        <color indexed="12"/>
        <rFont val="Arial"/>
        <family val="2"/>
      </rPr>
      <t>3</t>
    </r>
  </si>
  <si>
    <r>
      <t>4</t>
    </r>
    <r>
      <rPr>
        <sz val="10"/>
        <rFont val="Arial"/>
        <family val="2"/>
      </rPr>
      <t xml:space="preserve">  Sales Tax amounts are as reported on the Annual School Report and include both the one percent and one-eighth percent.</t>
    </r>
  </si>
  <si>
    <r>
      <t xml:space="preserve">And Use Tax </t>
    </r>
    <r>
      <rPr>
        <b/>
        <vertAlign val="superscript"/>
        <sz val="9"/>
        <color indexed="16"/>
        <rFont val="Arial"/>
        <family val="2"/>
      </rPr>
      <t>4</t>
    </r>
  </si>
  <si>
    <r>
      <t>5</t>
    </r>
    <r>
      <rPr>
        <sz val="10"/>
        <rFont val="Arial"/>
        <family val="2"/>
      </rPr>
      <t xml:space="preserve">  Support by fund source may not equal total expenditures due to rounding.</t>
    </r>
  </si>
  <si>
    <r>
      <t xml:space="preserve">Expenditure </t>
    </r>
    <r>
      <rPr>
        <vertAlign val="superscript"/>
        <sz val="9"/>
        <rFont val="Arial"/>
        <family val="2"/>
      </rPr>
      <t>5</t>
    </r>
  </si>
  <si>
    <r>
      <t xml:space="preserve">Operations </t>
    </r>
    <r>
      <rPr>
        <vertAlign val="superscript"/>
        <sz val="9"/>
        <rFont val="Arial"/>
        <family val="2"/>
      </rPr>
      <t>3</t>
    </r>
  </si>
  <si>
    <r>
      <t xml:space="preserve">1a.  Expenditures for operations: </t>
    </r>
    <r>
      <rPr>
        <sz val="12"/>
        <color indexed="10"/>
        <rFont val="Arial"/>
        <family val="2"/>
      </rPr>
      <t xml:space="preserve"> (see cell comment)</t>
    </r>
  </si>
  <si>
    <t>3a.  Less State Sales Tax Revenues (revenues 240308 and 240312):</t>
  </si>
  <si>
    <r>
      <t xml:space="preserve">Sources of Financial Support for Expenditures, Total Expenditures for Operations </t>
    </r>
    <r>
      <rPr>
        <b/>
        <vertAlign val="superscript"/>
        <sz val="9"/>
        <rFont val="Arial"/>
        <family val="2"/>
      </rPr>
      <t>1</t>
    </r>
    <r>
      <rPr>
        <b/>
        <sz val="9"/>
        <rFont val="Arial"/>
        <family val="2"/>
      </rPr>
      <t xml:space="preserve"> and Total Per Pupil Expenditures for Operations</t>
    </r>
  </si>
  <si>
    <t xml:space="preserve">1b.  Less tuition from another county or city (revenue 1901010 and 1901020): </t>
  </si>
  <si>
    <t>2d.  Less total State funds used for capital expenditures and</t>
  </si>
  <si>
    <t>040 - GREENSVILLE</t>
  </si>
  <si>
    <t>010 - BEDFORD</t>
  </si>
  <si>
    <t xml:space="preserve"> BEDFORD</t>
  </si>
  <si>
    <t>4d.  Less total Federal funds used for capital expenditures (Schedule G of ASRFIN):</t>
  </si>
  <si>
    <r>
      <t xml:space="preserve">State </t>
    </r>
    <r>
      <rPr>
        <b/>
        <vertAlign val="superscript"/>
        <sz val="9"/>
        <rFont val="Arial"/>
        <family val="2"/>
      </rPr>
      <t>7</t>
    </r>
  </si>
  <si>
    <t xml:space="preserve"> FAIRFAX</t>
  </si>
  <si>
    <t>029 - FAIRFAX</t>
  </si>
  <si>
    <t xml:space="preserve"> GREENSVILLE</t>
  </si>
  <si>
    <t xml:space="preserve"> JAMES CITY</t>
  </si>
  <si>
    <t>047 - JAMES CITY</t>
  </si>
  <si>
    <r>
      <t>7</t>
    </r>
    <r>
      <rPr>
        <sz val="10"/>
        <rFont val="Arial"/>
        <family val="2"/>
      </rPr>
      <t xml:space="preserve">  State level Per Pupil amounts are calculated based on state level totals.  For example: Local state level 'Per Pupil' Amount = state level 'Local Amount' divided by the state level 'End-of-Year ADM for determining Cost Per Pupil'. </t>
    </r>
  </si>
  <si>
    <t xml:space="preserve"> </t>
  </si>
  <si>
    <t xml:space="preserve"> Debt Service (Schedule G of ASRFIN):</t>
  </si>
  <si>
    <t>Bedford County/City 6</t>
  </si>
  <si>
    <t>Fairfax County/City6</t>
  </si>
  <si>
    <t>Greensville/Emporia 6</t>
  </si>
  <si>
    <t>Williamsburg 6</t>
  </si>
  <si>
    <t>Sales Tax FY 2009</t>
  </si>
  <si>
    <t>NUM</t>
  </si>
  <si>
    <t>SALES TAX</t>
  </si>
  <si>
    <t>State Totals:</t>
  </si>
  <si>
    <t>TABLE 15 METHODOLOGY - FISCAL YEAR 2009 ESTIMATE</t>
  </si>
  <si>
    <r>
      <t xml:space="preserve">Bedford County/City </t>
    </r>
    <r>
      <rPr>
        <vertAlign val="superscript"/>
        <sz val="9"/>
        <rFont val="Arial"/>
        <family val="2"/>
      </rPr>
      <t>6</t>
    </r>
  </si>
  <si>
    <r>
      <t xml:space="preserve">Greensville/Emporia </t>
    </r>
    <r>
      <rPr>
        <vertAlign val="superscript"/>
        <sz val="9"/>
        <rFont val="Arial"/>
        <family val="2"/>
      </rPr>
      <t>6</t>
    </r>
  </si>
  <si>
    <r>
      <t>2</t>
    </r>
    <r>
      <rPr>
        <sz val="10"/>
        <rFont val="Arial"/>
        <family val="2"/>
      </rPr>
      <t xml:space="preserve">  The Average Daily Membership (ADM) calculated at the end of the school year includes the ADM of pupils served in the school division and the ADM of resident pupils for whom tuition is paid to another school division, regional special education program, or private school.  It excludes Head Start, pre-kindergarten, and junior kindergarten students.</t>
    </r>
  </si>
  <si>
    <t>EOY Joint</t>
  </si>
  <si>
    <r>
      <t>Fairfax County/City</t>
    </r>
    <r>
      <rPr>
        <vertAlign val="superscript"/>
        <sz val="9"/>
        <rFont val="Arial"/>
        <family val="2"/>
      </rPr>
      <t>6</t>
    </r>
  </si>
  <si>
    <r>
      <t xml:space="preserve">Williamsburg/James CIty </t>
    </r>
    <r>
      <rPr>
        <vertAlign val="superscript"/>
        <sz val="9"/>
        <rFont val="Arial"/>
        <family val="2"/>
      </rPr>
      <t>6</t>
    </r>
  </si>
  <si>
    <r>
      <t>3</t>
    </r>
    <r>
      <rPr>
        <sz val="10"/>
        <rFont val="Arial"/>
        <family val="2"/>
      </rPr>
      <t xml:space="preserve">  Expenditures exclude tuition payments (revenue source code 1901010) received from other LEAs.</t>
    </r>
  </si>
  <si>
    <r>
      <t>6</t>
    </r>
    <r>
      <rPr>
        <sz val="10"/>
        <rFont val="Arial"/>
        <family val="2"/>
      </rPr>
      <t xml:space="preserve"> Data for Jointly-operated school divisions (Bedford City and Bedford County; Fairfax City and Fairfax County; Emporia and Greensville County; and Williamsburg and James City County) is reported under the fiscal agent division only. Bedford County, Fairfax County, Greensville County and Williamsburg are the fiscal agent divisions.</t>
    </r>
  </si>
  <si>
    <t>BOD EOY ADM</t>
  </si>
  <si>
    <t>Sales Tax FY 2010</t>
  </si>
  <si>
    <t>DABS Sales Tax fy09-all</t>
  </si>
  <si>
    <t>DABS Sales Tax fy 2010</t>
  </si>
  <si>
    <t>TABLE 15 METHODOLOGY - FISCAL YEAR 2008</t>
  </si>
  <si>
    <t>TABLE 15 METHODOLOGY - FISCAL YEAR 2010 ESTIMATE</t>
  </si>
  <si>
    <t>Projections based on FINAL DABS - Gov Bgt Dec 08 (HB1600-SB850).xls</t>
  </si>
  <si>
    <t xml:space="preserve">  (See Attachment D, Chart of Accounts, for 2007-2008 ASRFIN explanations)</t>
  </si>
  <si>
    <t>Fiscal Year 2008 - Dated 3-19-2009</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</si>
</sst>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_(&quot;$&quot;* #,##0_);_(&quot;$&quot;* \(#,##0\);_(&quot;$&quot;* &quot;-&quot;??_);_(@_)"/>
    <numFmt numFmtId="166" formatCode="mmmm\ d\,\ yyyy"/>
    <numFmt numFmtId="167" formatCode="dd\-mmm\-yy"/>
    <numFmt numFmtId="168" formatCode="\(000\)\ 000\-0000"/>
    <numFmt numFmtId="169" formatCode="_(* #,##0_);_(* \(#,##0\);_(* &quot;-&quot;??_);_(@_)"/>
    <numFmt numFmtId="170" formatCode="[&lt;=9999999]###\-####;\(###\)\ ###\-####"/>
    <numFmt numFmtId="171" formatCode="_(* #,##0.0_);_(* \(#,##0.0\);_(* &quot;-&quot;??_);_(@_)"/>
    <numFmt numFmtId="172" formatCode="_(&quot;$&quot;* #,##0.0_);_(&quot;$&quot;* \(#,##0.0\);_(&quot;$&quot;* &quot;-&quot;??_);_(@_)"/>
    <numFmt numFmtId="173" formatCode="mmm\-d\-yy\-_ h\-mm"/>
    <numFmt numFmtId="174" formatCode="_(* #,##0.0_);_(* \(#,##0.0\);_(* &quot;-&quot;?_);_(@_)"/>
    <numFmt numFmtId="175" formatCode="0.0%"/>
    <numFmt numFmtId="176" formatCode="0.000%"/>
    <numFmt numFmtId="177" formatCode="0.0000%"/>
    <numFmt numFmtId="178" formatCode="0.0"/>
    <numFmt numFmtId="179" formatCode="#,##0.0"/>
    <numFmt numFmtId="180" formatCode="#,##0.000"/>
    <numFmt numFmtId="181" formatCode="0.0000000"/>
    <numFmt numFmtId="182" formatCode="0.000000"/>
    <numFmt numFmtId="183" formatCode="0.00000"/>
    <numFmt numFmtId="184" formatCode="0.0000"/>
    <numFmt numFmtId="185" formatCode="0.000"/>
    <numFmt numFmtId="186" formatCode="0.00000000"/>
    <numFmt numFmtId="187" formatCode="0.000000000"/>
    <numFmt numFmtId="188" formatCode="0.0000000000"/>
    <numFmt numFmtId="189" formatCode="0.00000000000"/>
    <numFmt numFmtId="190" formatCode="General_)"/>
    <numFmt numFmtId="191" formatCode="_(* #,##0.000_);_(* \(#,##0.000\);_(* &quot;-&quot;??_);_(@_)"/>
    <numFmt numFmtId="192" formatCode="_(* #,##0.0000_);_(* \(#,##0.0000\);_(* &quot;-&quot;??_);_(@_)"/>
    <numFmt numFmtId="193" formatCode="&quot;$&quot;#,##0.00"/>
    <numFmt numFmtId="194" formatCode="#,##0;[Red]#,##0"/>
    <numFmt numFmtId="195" formatCode="_(&quot;$&quot;* #,##0.000_);_(&quot;$&quot;* \(#,##0.000\);_(&quot;$&quot;* &quot;-&quot;??_);_(@_)"/>
    <numFmt numFmtId="196" formatCode="0_);\(0\)"/>
    <numFmt numFmtId="197" formatCode="&quot;$&quot;#,##0.0_);[Red]\(&quot;$&quot;#,##0.0\)"/>
    <numFmt numFmtId="198" formatCode="_(* #,##0.0000000_);_(* \(#,##0.0000000\);_(* &quot;-&quot;???????_);_(@_)"/>
    <numFmt numFmtId="199" formatCode="_(* #,##0.00000000_);_(* \(#,##0.00000000\);_(* &quot;-&quot;????????_);_(@_)"/>
    <numFmt numFmtId="200" formatCode="_(* #,##0.000000000_);_(* \(#,##0.000000000\);_(* &quot;-&quot;?????????_);_(@_)"/>
    <numFmt numFmtId="201" formatCode="#,##0.0_);[Red]\(#,##0.0\)"/>
    <numFmt numFmtId="202" formatCode="#,##0.0_);\(#,##0.0\)"/>
    <numFmt numFmtId="203" formatCode="000.0"/>
    <numFmt numFmtId="204" formatCode="000.00"/>
    <numFmt numFmtId="205" formatCode="_(* #,##0.00000_);_(* \(#,##0.00000\);_(* &quot;-&quot;?????_);_(@_)"/>
    <numFmt numFmtId="206" formatCode="_(* #,##0.0000_);_(* \(#,##0.0000\);_(* &quot;-&quot;????_);_(@_)"/>
  </numFmts>
  <fonts count="36">
    <font>
      <sz val="10"/>
      <name val="Arial"/>
      <family val="0"/>
    </font>
    <font>
      <sz val="12"/>
      <name val="Arial"/>
      <family val="2"/>
    </font>
    <font>
      <b/>
      <sz val="12"/>
      <name val="Arial"/>
      <family val="2"/>
    </font>
    <font>
      <b/>
      <sz val="10"/>
      <name val="Arial"/>
      <family val="2"/>
    </font>
    <font>
      <b/>
      <sz val="14"/>
      <name val="Arial"/>
      <family val="2"/>
    </font>
    <font>
      <b/>
      <sz val="10"/>
      <color indexed="12"/>
      <name val="Arial"/>
      <family val="2"/>
    </font>
    <font>
      <sz val="12"/>
      <color indexed="12"/>
      <name val="Arial"/>
      <family val="2"/>
    </font>
    <font>
      <sz val="12"/>
      <color indexed="10"/>
      <name val="Arial"/>
      <family val="2"/>
    </font>
    <font>
      <b/>
      <sz val="12"/>
      <color indexed="16"/>
      <name val="Arial"/>
      <family val="2"/>
    </font>
    <font>
      <u val="single"/>
      <sz val="10"/>
      <color indexed="36"/>
      <name val="Arial"/>
      <family val="0"/>
    </font>
    <font>
      <u val="single"/>
      <sz val="10"/>
      <color indexed="12"/>
      <name val="Arial"/>
      <family val="0"/>
    </font>
    <font>
      <sz val="8"/>
      <name val="Tahoma"/>
      <family val="2"/>
    </font>
    <font>
      <b/>
      <vertAlign val="superscript"/>
      <sz val="9"/>
      <name val="Arial"/>
      <family val="2"/>
    </font>
    <font>
      <b/>
      <sz val="9"/>
      <name val="Arial"/>
      <family val="2"/>
    </font>
    <font>
      <sz val="9"/>
      <name val="Arial"/>
      <family val="2"/>
    </font>
    <font>
      <vertAlign val="superscript"/>
      <sz val="9"/>
      <name val="Arial"/>
      <family val="2"/>
    </font>
    <font>
      <sz val="9"/>
      <color indexed="9"/>
      <name val="Arial"/>
      <family val="2"/>
    </font>
    <font>
      <b/>
      <sz val="9"/>
      <color indexed="16"/>
      <name val="Arial"/>
      <family val="2"/>
    </font>
    <font>
      <b/>
      <sz val="9"/>
      <color indexed="12"/>
      <name val="Arial"/>
      <family val="2"/>
    </font>
    <font>
      <b/>
      <vertAlign val="superscript"/>
      <sz val="9"/>
      <color indexed="16"/>
      <name val="Arial"/>
      <family val="2"/>
    </font>
    <font>
      <b/>
      <sz val="9"/>
      <color indexed="17"/>
      <name val="Arial"/>
      <family val="2"/>
    </font>
    <font>
      <vertAlign val="superscript"/>
      <sz val="10"/>
      <name val="Arial"/>
      <family val="2"/>
    </font>
    <font>
      <b/>
      <sz val="16"/>
      <name val="Arial"/>
      <family val="2"/>
    </font>
    <font>
      <sz val="10"/>
      <color indexed="10"/>
      <name val="Arial"/>
      <family val="2"/>
    </font>
    <font>
      <b/>
      <sz val="9"/>
      <color indexed="10"/>
      <name val="Arial"/>
      <family val="2"/>
    </font>
    <font>
      <sz val="12"/>
      <color indexed="22"/>
      <name val="Arial"/>
      <family val="2"/>
    </font>
    <font>
      <sz val="10"/>
      <color indexed="22"/>
      <name val="Arial"/>
      <family val="2"/>
    </font>
    <font>
      <b/>
      <vertAlign val="superscript"/>
      <sz val="9"/>
      <color indexed="12"/>
      <name val="Arial"/>
      <family val="2"/>
    </font>
    <font>
      <b/>
      <sz val="14"/>
      <color indexed="10"/>
      <name val="Arial"/>
      <family val="2"/>
    </font>
    <font>
      <b/>
      <u val="single"/>
      <sz val="11"/>
      <name val="Tahoma"/>
      <family val="2"/>
    </font>
    <font>
      <b/>
      <sz val="11"/>
      <name val="Tahoma"/>
      <family val="2"/>
    </font>
    <font>
      <sz val="11"/>
      <name val="Tahoma"/>
      <family val="2"/>
    </font>
    <font>
      <b/>
      <sz val="8"/>
      <name val="Tahoma"/>
      <family val="0"/>
    </font>
    <font>
      <sz val="12"/>
      <name val="Arial Narrow"/>
      <family val="2"/>
    </font>
    <font>
      <b/>
      <sz val="12"/>
      <name val="Arial Narrow"/>
      <family val="2"/>
    </font>
    <font>
      <b/>
      <sz val="8"/>
      <name val="Arial"/>
      <family val="2"/>
    </font>
  </fonts>
  <fills count="8">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s>
  <borders count="33">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medium"/>
      <right style="medium"/>
      <top style="medium"/>
      <bottom style="medium"/>
    </border>
    <border>
      <left style="medium"/>
      <right style="thin"/>
      <top style="thin"/>
      <bottom style="thin"/>
    </border>
    <border>
      <left style="medium"/>
      <right>
        <color indexed="63"/>
      </right>
      <top style="medium"/>
      <bottom style="mediu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style="medium"/>
      <right style="thin"/>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64">
    <xf numFmtId="0" fontId="0" fillId="0" borderId="0" xfId="0" applyAlignment="1">
      <alignment/>
    </xf>
    <xf numFmtId="0" fontId="1" fillId="0" borderId="0" xfId="0" applyFont="1" applyAlignment="1" applyProtection="1">
      <alignment/>
      <protection/>
    </xf>
    <xf numFmtId="43" fontId="1" fillId="0" borderId="0" xfId="15" applyFont="1" applyAlignment="1" applyProtection="1">
      <alignment/>
      <protection/>
    </xf>
    <xf numFmtId="164" fontId="2" fillId="0" borderId="0" xfId="15" applyNumberFormat="1" applyFont="1" applyFill="1" applyBorder="1" applyAlignment="1" applyProtection="1">
      <alignment horizontal="center"/>
      <protection/>
    </xf>
    <xf numFmtId="3" fontId="8" fillId="2" borderId="1" xfId="15" applyNumberFormat="1" applyFont="1" applyFill="1" applyBorder="1" applyAlignment="1" applyProtection="1">
      <alignment/>
      <protection locked="0"/>
    </xf>
    <xf numFmtId="0" fontId="1" fillId="0" borderId="0" xfId="0" applyFont="1" applyAlignment="1">
      <alignment/>
    </xf>
    <xf numFmtId="3" fontId="1" fillId="0" borderId="1" xfId="15" applyNumberFormat="1" applyFont="1" applyFill="1" applyBorder="1" applyAlignment="1" applyProtection="1">
      <alignment/>
      <protection/>
    </xf>
    <xf numFmtId="0" fontId="13" fillId="0" borderId="0" xfId="0" applyFont="1" applyAlignment="1">
      <alignment/>
    </xf>
    <xf numFmtId="0" fontId="14" fillId="0" borderId="0" xfId="0" applyFont="1" applyAlignment="1">
      <alignment/>
    </xf>
    <xf numFmtId="169" fontId="14" fillId="0" borderId="0" xfId="15" applyNumberFormat="1" applyFont="1" applyAlignment="1">
      <alignment/>
    </xf>
    <xf numFmtId="169" fontId="14" fillId="0" borderId="0" xfId="15" applyNumberFormat="1" applyFont="1" applyBorder="1" applyAlignment="1">
      <alignment/>
    </xf>
    <xf numFmtId="0" fontId="13" fillId="0" borderId="2" xfId="0" applyFont="1" applyBorder="1" applyAlignment="1">
      <alignment/>
    </xf>
    <xf numFmtId="0" fontId="14" fillId="0" borderId="0" xfId="0" applyFont="1" applyAlignment="1">
      <alignment horizontal="center"/>
    </xf>
    <xf numFmtId="0" fontId="14" fillId="0" borderId="3" xfId="0" applyFont="1" applyBorder="1" applyAlignment="1">
      <alignment/>
    </xf>
    <xf numFmtId="169" fontId="14" fillId="0" borderId="3" xfId="15" applyNumberFormat="1" applyFont="1" applyBorder="1" applyAlignment="1">
      <alignment horizontal="center"/>
    </xf>
    <xf numFmtId="169" fontId="14" fillId="0" borderId="0" xfId="15" applyNumberFormat="1" applyFont="1" applyAlignment="1">
      <alignment horizontal="center"/>
    </xf>
    <xf numFmtId="169" fontId="14" fillId="0" borderId="4" xfId="15" applyNumberFormat="1" applyFont="1" applyBorder="1" applyAlignment="1">
      <alignment horizontal="center"/>
    </xf>
    <xf numFmtId="169" fontId="14" fillId="0" borderId="0" xfId="15" applyNumberFormat="1" applyFont="1" applyBorder="1" applyAlignment="1">
      <alignment horizontal="center"/>
    </xf>
    <xf numFmtId="0" fontId="14" fillId="0" borderId="2" xfId="0" applyFont="1" applyBorder="1" applyAlignment="1">
      <alignment horizontal="center"/>
    </xf>
    <xf numFmtId="0" fontId="14" fillId="0" borderId="2" xfId="0" applyFont="1" applyBorder="1" applyAlignment="1">
      <alignment/>
    </xf>
    <xf numFmtId="169" fontId="14" fillId="0" borderId="5" xfId="15" applyNumberFormat="1" applyFont="1" applyBorder="1" applyAlignment="1">
      <alignment horizontal="center"/>
    </xf>
    <xf numFmtId="169" fontId="14" fillId="0" borderId="2" xfId="15" applyNumberFormat="1" applyFont="1" applyBorder="1" applyAlignment="1">
      <alignment horizontal="center"/>
    </xf>
    <xf numFmtId="164" fontId="14" fillId="0" borderId="0" xfId="0" applyNumberFormat="1" applyFont="1" applyAlignment="1">
      <alignment horizontal="center"/>
    </xf>
    <xf numFmtId="169" fontId="14" fillId="0" borderId="0" xfId="15" applyNumberFormat="1" applyFont="1" applyFill="1" applyAlignment="1">
      <alignment/>
    </xf>
    <xf numFmtId="169" fontId="13" fillId="0" borderId="0" xfId="15" applyNumberFormat="1" applyFont="1" applyAlignment="1">
      <alignment/>
    </xf>
    <xf numFmtId="0" fontId="16" fillId="0" borderId="2" xfId="0" applyFont="1" applyBorder="1" applyAlignment="1">
      <alignment horizontal="center"/>
    </xf>
    <xf numFmtId="3" fontId="7" fillId="0" borderId="1" xfId="15" applyNumberFormat="1" applyFont="1" applyFill="1" applyBorder="1" applyAlignment="1" applyProtection="1">
      <alignment/>
      <protection/>
    </xf>
    <xf numFmtId="3" fontId="7" fillId="0" borderId="0" xfId="15" applyNumberFormat="1" applyFont="1" applyFill="1" applyBorder="1" applyAlignment="1" applyProtection="1">
      <alignment/>
      <protection/>
    </xf>
    <xf numFmtId="3" fontId="6" fillId="0" borderId="1" xfId="15" applyNumberFormat="1" applyFont="1" applyFill="1" applyBorder="1" applyAlignment="1" applyProtection="1">
      <alignment/>
      <protection/>
    </xf>
    <xf numFmtId="0" fontId="0" fillId="0" borderId="0" xfId="0" applyAlignment="1" applyProtection="1">
      <alignment/>
      <protection/>
    </xf>
    <xf numFmtId="3" fontId="7" fillId="2" borderId="1" xfId="15" applyNumberFormat="1" applyFont="1" applyFill="1" applyBorder="1" applyAlignment="1" applyProtection="1">
      <alignment/>
      <protection locked="0"/>
    </xf>
    <xf numFmtId="3" fontId="6" fillId="2" borderId="1" xfId="15" applyNumberFormat="1" applyFont="1" applyFill="1" applyBorder="1" applyAlignment="1" applyProtection="1">
      <alignment/>
      <protection locked="0"/>
    </xf>
    <xf numFmtId="3" fontId="1" fillId="2" borderId="1" xfId="15" applyNumberFormat="1" applyFont="1" applyFill="1" applyBorder="1" applyAlignment="1" applyProtection="1">
      <alignment/>
      <protection locked="0"/>
    </xf>
    <xf numFmtId="169" fontId="14" fillId="0" borderId="6" xfId="15" applyNumberFormat="1" applyFont="1" applyBorder="1" applyAlignment="1">
      <alignment horizontal="center"/>
    </xf>
    <xf numFmtId="169" fontId="14" fillId="0" borderId="7" xfId="15" applyNumberFormat="1" applyFont="1" applyBorder="1" applyAlignment="1">
      <alignment horizontal="center"/>
    </xf>
    <xf numFmtId="0" fontId="14" fillId="0" borderId="7" xfId="0" applyFont="1" applyBorder="1" applyAlignment="1">
      <alignment horizontal="center"/>
    </xf>
    <xf numFmtId="0" fontId="17" fillId="0" borderId="8" xfId="0" applyFont="1" applyBorder="1" applyAlignment="1">
      <alignment/>
    </xf>
    <xf numFmtId="0" fontId="17" fillId="0" borderId="9" xfId="0" applyFont="1" applyBorder="1" applyAlignment="1">
      <alignment/>
    </xf>
    <xf numFmtId="169" fontId="13" fillId="0" borderId="0" xfId="15" applyNumberFormat="1" applyFont="1" applyAlignment="1">
      <alignment horizontal="center"/>
    </xf>
    <xf numFmtId="169" fontId="20" fillId="0" borderId="0" xfId="15" applyNumberFormat="1" applyFont="1" applyAlignment="1">
      <alignment/>
    </xf>
    <xf numFmtId="0" fontId="14" fillId="3" borderId="0" xfId="0" applyFont="1" applyFill="1" applyAlignment="1">
      <alignment/>
    </xf>
    <xf numFmtId="0" fontId="0" fillId="3" borderId="0" xfId="0" applyFill="1" applyAlignment="1">
      <alignment/>
    </xf>
    <xf numFmtId="169" fontId="14" fillId="3" borderId="0" xfId="15" applyNumberFormat="1" applyFont="1" applyFill="1" applyAlignment="1">
      <alignment/>
    </xf>
    <xf numFmtId="0" fontId="14" fillId="3" borderId="0" xfId="0" applyFont="1" applyFill="1" applyAlignment="1">
      <alignment horizontal="center"/>
    </xf>
    <xf numFmtId="0" fontId="14" fillId="0" borderId="0" xfId="0" applyFont="1" applyBorder="1" applyAlignment="1">
      <alignment/>
    </xf>
    <xf numFmtId="0" fontId="1" fillId="3" borderId="0" xfId="0" applyFont="1" applyFill="1" applyAlignment="1" applyProtection="1">
      <alignment/>
      <protection/>
    </xf>
    <xf numFmtId="0" fontId="0" fillId="3" borderId="0" xfId="0" applyFill="1" applyAlignment="1" applyProtection="1">
      <alignment/>
      <protection/>
    </xf>
    <xf numFmtId="43" fontId="1" fillId="0" borderId="10" xfId="15" applyFont="1" applyBorder="1" applyAlignment="1" applyProtection="1">
      <alignment/>
      <protection/>
    </xf>
    <xf numFmtId="43" fontId="1" fillId="0" borderId="0" xfId="15" applyFont="1" applyBorder="1" applyAlignment="1" applyProtection="1">
      <alignment/>
      <protection/>
    </xf>
    <xf numFmtId="43" fontId="1" fillId="0" borderId="11" xfId="15" applyFont="1" applyBorder="1" applyAlignment="1" applyProtection="1">
      <alignment horizontal="right"/>
      <protection/>
    </xf>
    <xf numFmtId="43" fontId="2" fillId="0" borderId="10" xfId="15" applyFont="1" applyBorder="1" applyAlignment="1" applyProtection="1">
      <alignment/>
      <protection/>
    </xf>
    <xf numFmtId="43" fontId="2" fillId="0" borderId="0" xfId="15" applyFont="1" applyBorder="1" applyAlignment="1" applyProtection="1">
      <alignment horizontal="center"/>
      <protection/>
    </xf>
    <xf numFmtId="43" fontId="1" fillId="0" borderId="11" xfId="15" applyFont="1" applyBorder="1" applyAlignment="1" applyProtection="1">
      <alignment/>
      <protection/>
    </xf>
    <xf numFmtId="43" fontId="1" fillId="0" borderId="11" xfId="15" applyFont="1" applyFill="1" applyBorder="1" applyAlignment="1" applyProtection="1">
      <alignment/>
      <protection/>
    </xf>
    <xf numFmtId="43" fontId="1" fillId="0" borderId="0" xfId="15" applyFont="1" applyFill="1" applyBorder="1" applyAlignment="1" applyProtection="1">
      <alignment/>
      <protection/>
    </xf>
    <xf numFmtId="0" fontId="1" fillId="0" borderId="11" xfId="0" applyFont="1" applyBorder="1" applyAlignment="1" applyProtection="1">
      <alignment/>
      <protection/>
    </xf>
    <xf numFmtId="43" fontId="2" fillId="0" borderId="0" xfId="15" applyFont="1"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43" fontId="8" fillId="0" borderId="10" xfId="15" applyFont="1" applyBorder="1" applyAlignment="1" applyProtection="1">
      <alignment/>
      <protection/>
    </xf>
    <xf numFmtId="0" fontId="0" fillId="0" borderId="12" xfId="0" applyBorder="1" applyAlignment="1" applyProtection="1">
      <alignment/>
      <protection/>
    </xf>
    <xf numFmtId="0" fontId="0" fillId="0" borderId="2" xfId="0" applyBorder="1" applyAlignment="1" applyProtection="1">
      <alignment/>
      <protection/>
    </xf>
    <xf numFmtId="0" fontId="0" fillId="0" borderId="13" xfId="0" applyBorder="1" applyAlignment="1" applyProtection="1">
      <alignment/>
      <protection/>
    </xf>
    <xf numFmtId="0" fontId="0" fillId="0" borderId="0" xfId="0" applyFill="1" applyAlignment="1">
      <alignment/>
    </xf>
    <xf numFmtId="0" fontId="25" fillId="3" borderId="0" xfId="0" applyFont="1" applyFill="1" applyAlignment="1" applyProtection="1">
      <alignment/>
      <protection/>
    </xf>
    <xf numFmtId="169" fontId="25" fillId="3" borderId="0" xfId="15" applyNumberFormat="1" applyFont="1" applyFill="1" applyAlignment="1" applyProtection="1">
      <alignment/>
      <protection/>
    </xf>
    <xf numFmtId="0" fontId="25" fillId="3" borderId="0" xfId="0" applyFont="1" applyFill="1" applyAlignment="1" applyProtection="1">
      <alignment horizontal="center"/>
      <protection/>
    </xf>
    <xf numFmtId="43" fontId="1" fillId="3" borderId="0" xfId="15" applyFont="1" applyFill="1" applyAlignment="1" applyProtection="1">
      <alignment/>
      <protection/>
    </xf>
    <xf numFmtId="0" fontId="1" fillId="0" borderId="0" xfId="0" applyFont="1" applyFill="1" applyAlignment="1" applyProtection="1">
      <alignment/>
      <protection/>
    </xf>
    <xf numFmtId="43" fontId="1" fillId="0" borderId="11" xfId="0" applyNumberFormat="1" applyFont="1" applyBorder="1" applyAlignment="1" applyProtection="1">
      <alignment/>
      <protection/>
    </xf>
    <xf numFmtId="169" fontId="14" fillId="0" borderId="3" xfId="15" applyNumberFormat="1" applyFont="1" applyFill="1" applyBorder="1" applyAlignment="1">
      <alignment horizontal="center"/>
    </xf>
    <xf numFmtId="0" fontId="13" fillId="0" borderId="0" xfId="0" applyFont="1" applyFill="1" applyAlignment="1">
      <alignment/>
    </xf>
    <xf numFmtId="169" fontId="14" fillId="0" borderId="4" xfId="15" applyNumberFormat="1" applyFont="1" applyFill="1" applyBorder="1" applyAlignment="1">
      <alignment horizontal="center"/>
    </xf>
    <xf numFmtId="169" fontId="14" fillId="0" borderId="5" xfId="15" applyNumberFormat="1" applyFont="1" applyFill="1" applyBorder="1" applyAlignment="1">
      <alignment horizontal="center"/>
    </xf>
    <xf numFmtId="49" fontId="14" fillId="0" borderId="5" xfId="15" applyNumberFormat="1" applyFont="1" applyBorder="1" applyAlignment="1">
      <alignment horizontal="center"/>
    </xf>
    <xf numFmtId="169" fontId="1" fillId="3" borderId="0" xfId="0" applyNumberFormat="1" applyFont="1" applyFill="1" applyAlignment="1" applyProtection="1">
      <alignment/>
      <protection/>
    </xf>
    <xf numFmtId="0" fontId="1" fillId="0" borderId="10" xfId="15" applyNumberFormat="1" applyFont="1" applyBorder="1" applyAlignment="1" applyProtection="1">
      <alignment horizontal="left" indent="2"/>
      <protection/>
    </xf>
    <xf numFmtId="0" fontId="1" fillId="0" borderId="0" xfId="15" applyNumberFormat="1" applyFont="1" applyBorder="1" applyAlignment="1" applyProtection="1">
      <alignment horizontal="left" indent="2"/>
      <protection/>
    </xf>
    <xf numFmtId="0" fontId="1" fillId="0" borderId="10" xfId="15" applyNumberFormat="1" applyFont="1" applyBorder="1" applyAlignment="1" applyProtection="1">
      <alignment horizontal="center"/>
      <protection/>
    </xf>
    <xf numFmtId="0" fontId="1" fillId="0" borderId="0" xfId="15" applyNumberFormat="1" applyFont="1" applyBorder="1" applyAlignment="1" applyProtection="1">
      <alignment horizontal="center"/>
      <protection/>
    </xf>
    <xf numFmtId="3" fontId="7" fillId="0" borderId="1" xfId="15" applyNumberFormat="1" applyFont="1" applyBorder="1" applyAlignment="1" applyProtection="1">
      <alignment/>
      <protection/>
    </xf>
    <xf numFmtId="0" fontId="1" fillId="0" borderId="14" xfId="15" applyNumberFormat="1" applyFont="1" applyBorder="1" applyAlignment="1" applyProtection="1">
      <alignment horizontal="left"/>
      <protection/>
    </xf>
    <xf numFmtId="3" fontId="7" fillId="0" borderId="0" xfId="15" applyNumberFormat="1" applyFont="1" applyBorder="1" applyAlignment="1" applyProtection="1">
      <alignment/>
      <protection/>
    </xf>
    <xf numFmtId="165" fontId="2" fillId="4" borderId="15" xfId="17" applyNumberFormat="1" applyFont="1" applyFill="1" applyBorder="1" applyAlignment="1" applyProtection="1">
      <alignment/>
      <protection/>
    </xf>
    <xf numFmtId="0" fontId="1" fillId="0" borderId="10" xfId="15" applyNumberFormat="1" applyFont="1" applyBorder="1" applyAlignment="1" applyProtection="1">
      <alignment horizontal="left" indent="5"/>
      <protection/>
    </xf>
    <xf numFmtId="43" fontId="1" fillId="0" borderId="10" xfId="15" applyFont="1" applyBorder="1" applyAlignment="1" applyProtection="1">
      <alignment horizontal="left" indent="3"/>
      <protection/>
    </xf>
    <xf numFmtId="0" fontId="2" fillId="0" borderId="10" xfId="15" applyNumberFormat="1" applyFont="1" applyBorder="1" applyAlignment="1" applyProtection="1">
      <alignment horizontal="left" indent="2"/>
      <protection/>
    </xf>
    <xf numFmtId="165" fontId="1" fillId="0" borderId="1" xfId="17" applyNumberFormat="1" applyFont="1" applyFill="1" applyBorder="1" applyAlignment="1" applyProtection="1">
      <alignment/>
      <protection/>
    </xf>
    <xf numFmtId="0" fontId="2" fillId="0" borderId="0" xfId="0" applyFont="1" applyAlignment="1">
      <alignment/>
    </xf>
    <xf numFmtId="164" fontId="2" fillId="0" borderId="16" xfId="15" applyNumberFormat="1" applyFont="1" applyFill="1" applyBorder="1" applyAlignment="1" applyProtection="1">
      <alignment horizontal="center" vertical="center"/>
      <protection/>
    </xf>
    <xf numFmtId="43" fontId="2" fillId="0" borderId="1" xfId="15" applyFont="1" applyFill="1" applyBorder="1" applyAlignment="1" applyProtection="1">
      <alignment horizontal="center" vertical="center"/>
      <protection/>
    </xf>
    <xf numFmtId="43" fontId="2" fillId="0" borderId="0" xfId="15" applyFont="1" applyFill="1" applyBorder="1" applyAlignment="1" applyProtection="1">
      <alignment horizontal="center" vertical="center"/>
      <protection/>
    </xf>
    <xf numFmtId="165" fontId="2" fillId="5" borderId="15" xfId="17" applyNumberFormat="1" applyFont="1" applyFill="1" applyBorder="1" applyAlignment="1" applyProtection="1">
      <alignment/>
      <protection/>
    </xf>
    <xf numFmtId="165" fontId="1" fillId="2" borderId="1" xfId="17" applyNumberFormat="1" applyFont="1" applyFill="1" applyBorder="1" applyAlignment="1" applyProtection="1">
      <alignment/>
      <protection locked="0"/>
    </xf>
    <xf numFmtId="164" fontId="1" fillId="0" borderId="10" xfId="0" applyNumberFormat="1" applyFont="1" applyFill="1" applyBorder="1" applyAlignment="1" applyProtection="1">
      <alignment horizontal="center"/>
      <protection/>
    </xf>
    <xf numFmtId="0" fontId="1" fillId="0" borderId="0" xfId="0" applyFont="1" applyFill="1" applyBorder="1" applyAlignment="1" applyProtection="1">
      <alignment/>
      <protection/>
    </xf>
    <xf numFmtId="169" fontId="1" fillId="0" borderId="0" xfId="15" applyNumberFormat="1" applyFont="1" applyFill="1" applyBorder="1" applyAlignment="1" applyProtection="1">
      <alignment/>
      <protection/>
    </xf>
    <xf numFmtId="165" fontId="1" fillId="0" borderId="1" xfId="17" applyNumberFormat="1" applyFont="1" applyFill="1" applyBorder="1" applyAlignment="1" applyProtection="1">
      <alignment/>
      <protection locked="0"/>
    </xf>
    <xf numFmtId="3" fontId="2" fillId="6" borderId="17" xfId="0" applyNumberFormat="1" applyFont="1" applyFill="1" applyBorder="1" applyAlignment="1" applyProtection="1">
      <alignment horizontal="center"/>
      <protection/>
    </xf>
    <xf numFmtId="3" fontId="2" fillId="6" borderId="15" xfId="0" applyNumberFormat="1" applyFont="1" applyFill="1" applyBorder="1" applyAlignment="1" applyProtection="1">
      <alignment horizontal="center"/>
      <protection/>
    </xf>
    <xf numFmtId="169" fontId="2" fillId="7" borderId="15" xfId="15" applyNumberFormat="1" applyFont="1" applyFill="1" applyBorder="1" applyAlignment="1" applyProtection="1">
      <alignment horizontal="center"/>
      <protection/>
    </xf>
    <xf numFmtId="169" fontId="2" fillId="6" borderId="18" xfId="15" applyNumberFormat="1" applyFont="1" applyFill="1" applyBorder="1" applyAlignment="1" applyProtection="1">
      <alignment horizontal="center"/>
      <protection/>
    </xf>
    <xf numFmtId="169" fontId="1" fillId="0" borderId="3" xfId="15" applyNumberFormat="1" applyFont="1" applyFill="1" applyBorder="1" applyAlignment="1" applyProtection="1">
      <alignment/>
      <protection/>
    </xf>
    <xf numFmtId="164" fontId="1" fillId="0" borderId="12" xfId="0" applyNumberFormat="1" applyFont="1" applyFill="1" applyBorder="1" applyAlignment="1" applyProtection="1">
      <alignment horizontal="center"/>
      <protection/>
    </xf>
    <xf numFmtId="0" fontId="1" fillId="0" borderId="2" xfId="0" applyFont="1" applyFill="1" applyBorder="1" applyAlignment="1" applyProtection="1">
      <alignment/>
      <protection/>
    </xf>
    <xf numFmtId="169" fontId="1" fillId="0" borderId="2" xfId="15" applyNumberFormat="1" applyFont="1" applyFill="1" applyBorder="1" applyAlignment="1" applyProtection="1">
      <alignment/>
      <protection/>
    </xf>
    <xf numFmtId="0" fontId="1" fillId="3" borderId="0" xfId="0" applyFont="1" applyFill="1" applyAlignment="1" applyProtection="1">
      <alignment/>
      <protection/>
    </xf>
    <xf numFmtId="0" fontId="8" fillId="3" borderId="0" xfId="0" applyFont="1" applyFill="1" applyAlignment="1" applyProtection="1">
      <alignment/>
      <protection/>
    </xf>
    <xf numFmtId="43" fontId="14" fillId="0" borderId="0" xfId="15" applyNumberFormat="1" applyFont="1" applyAlignment="1">
      <alignment/>
    </xf>
    <xf numFmtId="0" fontId="3" fillId="0" borderId="0" xfId="0" applyFont="1" applyFill="1" applyBorder="1" applyAlignment="1">
      <alignment horizontal="center"/>
    </xf>
    <xf numFmtId="43" fontId="3" fillId="0" borderId="0" xfId="0" applyNumberFormat="1" applyFont="1" applyFill="1" applyBorder="1" applyAlignment="1">
      <alignment horizontal="center"/>
    </xf>
    <xf numFmtId="0" fontId="3" fillId="0" borderId="0" xfId="0" applyFont="1" applyFill="1" applyAlignment="1">
      <alignment horizontal="center"/>
    </xf>
    <xf numFmtId="43" fontId="3" fillId="0" borderId="0" xfId="15" applyFont="1" applyFill="1" applyAlignment="1">
      <alignment horizontal="center"/>
    </xf>
    <xf numFmtId="164" fontId="0" fillId="0" borderId="0" xfId="0" applyNumberFormat="1" applyFont="1" applyFill="1" applyBorder="1" applyAlignment="1">
      <alignment horizontal="center"/>
    </xf>
    <xf numFmtId="43" fontId="0" fillId="0" borderId="0" xfId="0" applyNumberFormat="1" applyFont="1" applyFill="1" applyBorder="1" applyAlignment="1">
      <alignment/>
    </xf>
    <xf numFmtId="0" fontId="0" fillId="0" borderId="0" xfId="0" applyFont="1" applyFill="1" applyAlignment="1">
      <alignment/>
    </xf>
    <xf numFmtId="43" fontId="0" fillId="0" borderId="0" xfId="0" applyNumberFormat="1" applyFont="1" applyFill="1" applyAlignment="1">
      <alignment/>
    </xf>
    <xf numFmtId="2" fontId="0" fillId="0" borderId="0" xfId="0" applyNumberFormat="1" applyFont="1" applyFill="1" applyAlignment="1">
      <alignment/>
    </xf>
    <xf numFmtId="43" fontId="0" fillId="0" borderId="0" xfId="15" applyFont="1" applyFill="1" applyAlignment="1">
      <alignment/>
    </xf>
    <xf numFmtId="0" fontId="3" fillId="0" borderId="0" xfId="0" applyFont="1" applyFill="1" applyAlignment="1">
      <alignment/>
    </xf>
    <xf numFmtId="164" fontId="3" fillId="0" borderId="0" xfId="0" applyNumberFormat="1" applyFont="1" applyFill="1" applyBorder="1" applyAlignment="1">
      <alignment horizontal="center"/>
    </xf>
    <xf numFmtId="43" fontId="3" fillId="0" borderId="0" xfId="0" applyNumberFormat="1" applyFont="1" applyFill="1" applyBorder="1" applyAlignment="1">
      <alignment/>
    </xf>
    <xf numFmtId="43" fontId="3" fillId="0" borderId="0" xfId="15" applyFont="1" applyFill="1" applyBorder="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5" fillId="6" borderId="15" xfId="0" applyFont="1" applyFill="1" applyBorder="1" applyAlignment="1">
      <alignment horizontal="center"/>
    </xf>
    <xf numFmtId="43" fontId="0" fillId="0" borderId="19" xfId="15" applyFont="1" applyFill="1" applyBorder="1" applyAlignment="1">
      <alignment horizontal="center"/>
    </xf>
    <xf numFmtId="43" fontId="0" fillId="0" borderId="20" xfId="15" applyFont="1" applyFill="1" applyBorder="1" applyAlignment="1">
      <alignment horizontal="center"/>
    </xf>
    <xf numFmtId="43" fontId="0" fillId="0" borderId="21" xfId="15" applyFont="1" applyFill="1" applyBorder="1" applyAlignment="1">
      <alignment horizontal="center"/>
    </xf>
    <xf numFmtId="43" fontId="0" fillId="0" borderId="0" xfId="0" applyNumberFormat="1" applyAlignment="1">
      <alignment/>
    </xf>
    <xf numFmtId="43" fontId="3" fillId="0" borderId="0" xfId="0" applyNumberFormat="1" applyFont="1" applyAlignment="1">
      <alignment/>
    </xf>
    <xf numFmtId="43" fontId="25" fillId="3" borderId="0" xfId="15" applyFont="1" applyFill="1" applyAlignment="1" applyProtection="1">
      <alignment horizontal="right"/>
      <protection/>
    </xf>
    <xf numFmtId="43" fontId="26" fillId="3" borderId="0" xfId="15" applyFont="1" applyFill="1" applyAlignment="1" applyProtection="1">
      <alignment horizontal="right"/>
      <protection/>
    </xf>
    <xf numFmtId="43" fontId="25" fillId="0" borderId="0" xfId="15" applyFont="1" applyFill="1" applyAlignment="1" applyProtection="1">
      <alignment horizontal="right"/>
      <protection/>
    </xf>
    <xf numFmtId="0" fontId="1" fillId="3" borderId="0" xfId="0" applyFont="1" applyFill="1" applyAlignment="1" applyProtection="1">
      <alignment horizontal="center"/>
      <protection/>
    </xf>
    <xf numFmtId="0" fontId="26" fillId="3" borderId="0" xfId="0" applyFont="1" applyFill="1" applyAlignment="1" applyProtection="1">
      <alignment horizontal="center"/>
      <protection/>
    </xf>
    <xf numFmtId="0" fontId="25" fillId="0" borderId="0" xfId="0" applyFont="1" applyFill="1" applyAlignment="1" applyProtection="1">
      <alignment horizontal="center"/>
      <protection/>
    </xf>
    <xf numFmtId="0" fontId="23" fillId="0" borderId="0" xfId="0" applyFont="1" applyFill="1" applyAlignment="1">
      <alignment horizontal="left"/>
    </xf>
    <xf numFmtId="43" fontId="1" fillId="0" borderId="3" xfId="15" applyNumberFormat="1" applyFont="1" applyFill="1" applyBorder="1" applyAlignment="1" applyProtection="1">
      <alignment/>
      <protection/>
    </xf>
    <xf numFmtId="43" fontId="1" fillId="0" borderId="22" xfId="15" applyNumberFormat="1" applyFont="1" applyFill="1" applyBorder="1" applyAlignment="1" applyProtection="1">
      <alignment/>
      <protection/>
    </xf>
    <xf numFmtId="43" fontId="1" fillId="0" borderId="0" xfId="15" applyNumberFormat="1" applyFont="1" applyFill="1" applyBorder="1" applyAlignment="1" applyProtection="1">
      <alignment/>
      <protection/>
    </xf>
    <xf numFmtId="43" fontId="1" fillId="0" borderId="11" xfId="15" applyNumberFormat="1" applyFont="1" applyFill="1" applyBorder="1" applyAlignment="1" applyProtection="1">
      <alignment/>
      <protection/>
    </xf>
    <xf numFmtId="43" fontId="1" fillId="0" borderId="2" xfId="15" applyNumberFormat="1" applyFont="1" applyFill="1" applyBorder="1" applyAlignment="1" applyProtection="1">
      <alignment/>
      <protection/>
    </xf>
    <xf numFmtId="43" fontId="1" fillId="0" borderId="13" xfId="15" applyNumberFormat="1" applyFont="1" applyFill="1" applyBorder="1" applyAlignment="1" applyProtection="1">
      <alignment/>
      <protection/>
    </xf>
    <xf numFmtId="4" fontId="8" fillId="2" borderId="1" xfId="15" applyNumberFormat="1" applyFont="1" applyFill="1" applyBorder="1" applyAlignment="1" applyProtection="1">
      <alignment/>
      <protection/>
    </xf>
    <xf numFmtId="164" fontId="0" fillId="0" borderId="0" xfId="0" applyNumberFormat="1" applyAlignment="1">
      <alignment horizontal="center"/>
    </xf>
    <xf numFmtId="43" fontId="1" fillId="0" borderId="0" xfId="15" applyFont="1" applyBorder="1" applyAlignment="1" applyProtection="1">
      <alignment vertical="center"/>
      <protection/>
    </xf>
    <xf numFmtId="43" fontId="25" fillId="3" borderId="0" xfId="15" applyFont="1" applyFill="1" applyAlignment="1" applyProtection="1">
      <alignment horizontal="right" vertical="center"/>
      <protection/>
    </xf>
    <xf numFmtId="0" fontId="25" fillId="3" borderId="0" xfId="0" applyFont="1" applyFill="1" applyAlignment="1" applyProtection="1">
      <alignment horizontal="center" vertical="center"/>
      <protection/>
    </xf>
    <xf numFmtId="0" fontId="1" fillId="3" borderId="0" xfId="0" applyFont="1" applyFill="1" applyAlignment="1" applyProtection="1">
      <alignment vertical="center"/>
      <protection/>
    </xf>
    <xf numFmtId="169" fontId="1" fillId="0" borderId="0" xfId="15" applyNumberFormat="1" applyFont="1" applyFill="1" applyBorder="1" applyAlignment="1" applyProtection="1">
      <alignment vertical="center"/>
      <protection/>
    </xf>
    <xf numFmtId="43" fontId="1" fillId="0" borderId="0" xfId="15" applyNumberFormat="1" applyFont="1" applyFill="1" applyBorder="1" applyAlignment="1" applyProtection="1">
      <alignment vertical="center"/>
      <protection/>
    </xf>
    <xf numFmtId="43" fontId="1" fillId="0" borderId="11" xfId="15" applyNumberFormat="1" applyFont="1" applyFill="1" applyBorder="1" applyAlignment="1" applyProtection="1">
      <alignment vertical="center"/>
      <protection/>
    </xf>
    <xf numFmtId="0" fontId="1" fillId="0" borderId="0" xfId="0" applyFont="1" applyAlignment="1" applyProtection="1">
      <alignment vertical="center"/>
      <protection/>
    </xf>
    <xf numFmtId="169" fontId="14" fillId="0" borderId="0" xfId="15" applyNumberFormat="1" applyFont="1" applyFill="1" applyBorder="1" applyAlignment="1">
      <alignment/>
    </xf>
    <xf numFmtId="164" fontId="14" fillId="3" borderId="0" xfId="0" applyNumberFormat="1" applyFont="1" applyFill="1" applyAlignment="1">
      <alignment/>
    </xf>
    <xf numFmtId="169" fontId="0" fillId="3" borderId="0" xfId="0" applyNumberFormat="1" applyFill="1" applyAlignment="1">
      <alignment/>
    </xf>
    <xf numFmtId="3" fontId="3" fillId="0" borderId="0" xfId="0" applyNumberFormat="1" applyFont="1" applyAlignment="1">
      <alignment/>
    </xf>
    <xf numFmtId="3" fontId="0" fillId="0" borderId="19" xfId="0" applyNumberFormat="1" applyFont="1" applyBorder="1" applyAlignment="1">
      <alignment/>
    </xf>
    <xf numFmtId="3" fontId="0" fillId="0" borderId="20" xfId="0" applyNumberFormat="1" applyFont="1" applyBorder="1" applyAlignment="1">
      <alignment/>
    </xf>
    <xf numFmtId="43" fontId="0" fillId="0" borderId="0" xfId="0" applyNumberFormat="1" applyFill="1" applyAlignment="1">
      <alignment/>
    </xf>
    <xf numFmtId="3" fontId="0" fillId="0" borderId="0" xfId="0" applyNumberFormat="1" applyFill="1" applyAlignment="1">
      <alignment/>
    </xf>
    <xf numFmtId="0" fontId="1" fillId="0" borderId="0" xfId="15" applyNumberFormat="1" applyFont="1" applyBorder="1" applyAlignment="1" applyProtection="1">
      <alignment horizontal="left" indent="5"/>
      <protection/>
    </xf>
    <xf numFmtId="0" fontId="1" fillId="0" borderId="14" xfId="0" applyFont="1" applyBorder="1" applyAlignment="1">
      <alignment horizontal="right" wrapText="1" readingOrder="1"/>
    </xf>
    <xf numFmtId="0" fontId="0" fillId="0" borderId="0" xfId="0" applyAlignment="1">
      <alignment horizontal="left"/>
    </xf>
    <xf numFmtId="0" fontId="1" fillId="0" borderId="10" xfId="15" applyNumberFormat="1" applyFont="1" applyBorder="1" applyAlignment="1" applyProtection="1">
      <alignment horizontal="left" vertical="top" indent="5"/>
      <protection/>
    </xf>
    <xf numFmtId="0" fontId="1" fillId="0" borderId="0" xfId="0" applyFont="1" applyBorder="1" applyAlignment="1">
      <alignment horizontal="right" wrapText="1" readingOrder="1"/>
    </xf>
    <xf numFmtId="0" fontId="1" fillId="0" borderId="0" xfId="15" applyNumberFormat="1" applyFont="1" applyBorder="1" applyAlignment="1" applyProtection="1">
      <alignment horizontal="left"/>
      <protection/>
    </xf>
    <xf numFmtId="0" fontId="0" fillId="0" borderId="0" xfId="0" applyBorder="1" applyAlignment="1">
      <alignment horizontal="left"/>
    </xf>
    <xf numFmtId="43" fontId="1" fillId="0" borderId="4" xfId="15" applyFont="1" applyBorder="1" applyAlignment="1" applyProtection="1">
      <alignment/>
      <protection/>
    </xf>
    <xf numFmtId="43" fontId="1" fillId="0" borderId="14" xfId="15" applyFont="1" applyBorder="1" applyAlignment="1" applyProtection="1">
      <alignment horizontal="right"/>
      <protection/>
    </xf>
    <xf numFmtId="43" fontId="2" fillId="0" borderId="4" xfId="15" applyFont="1" applyBorder="1" applyAlignment="1" applyProtection="1">
      <alignment/>
      <protection/>
    </xf>
    <xf numFmtId="43" fontId="1" fillId="0" borderId="14" xfId="15" applyFont="1" applyBorder="1" applyAlignment="1" applyProtection="1">
      <alignment/>
      <protection/>
    </xf>
    <xf numFmtId="164" fontId="2" fillId="0" borderId="1" xfId="15" applyNumberFormat="1" applyFont="1" applyFill="1" applyBorder="1" applyAlignment="1" applyProtection="1">
      <alignment horizontal="center" vertical="center"/>
      <protection/>
    </xf>
    <xf numFmtId="164" fontId="2" fillId="0" borderId="4" xfId="15" applyNumberFormat="1" applyFont="1" applyFill="1" applyBorder="1" applyAlignment="1" applyProtection="1">
      <alignment horizontal="center" vertical="center"/>
      <protection/>
    </xf>
    <xf numFmtId="43" fontId="1" fillId="0" borderId="14" xfId="15" applyFont="1" applyFill="1" applyBorder="1" applyAlignment="1" applyProtection="1">
      <alignment/>
      <protection/>
    </xf>
    <xf numFmtId="43" fontId="1" fillId="0" borderId="14" xfId="15" applyFont="1" applyFill="1" applyBorder="1" applyAlignment="1" applyProtection="1">
      <alignment vertical="center"/>
      <protection/>
    </xf>
    <xf numFmtId="0" fontId="1" fillId="0" borderId="4" xfId="15" applyNumberFormat="1" applyFont="1" applyBorder="1" applyAlignment="1" applyProtection="1">
      <alignment horizontal="left" indent="5"/>
      <protection/>
    </xf>
    <xf numFmtId="0" fontId="1" fillId="0" borderId="4" xfId="15" applyNumberFormat="1" applyFont="1" applyBorder="1" applyAlignment="1" applyProtection="1">
      <alignment horizontal="center"/>
      <protection/>
    </xf>
    <xf numFmtId="0" fontId="1" fillId="0" borderId="4" xfId="15" applyNumberFormat="1" applyFont="1" applyBorder="1" applyAlignment="1" applyProtection="1">
      <alignment horizontal="left" indent="2"/>
      <protection/>
    </xf>
    <xf numFmtId="165" fontId="2" fillId="7" borderId="23" xfId="17" applyNumberFormat="1" applyFont="1" applyFill="1" applyBorder="1" applyAlignment="1" applyProtection="1">
      <alignment/>
      <protection/>
    </xf>
    <xf numFmtId="43" fontId="1" fillId="0" borderId="14" xfId="0" applyNumberFormat="1" applyFont="1" applyBorder="1" applyAlignment="1" applyProtection="1">
      <alignment/>
      <protection/>
    </xf>
    <xf numFmtId="0" fontId="1" fillId="0" borderId="14" xfId="0" applyFont="1" applyBorder="1" applyAlignment="1" applyProtection="1">
      <alignment/>
      <protection/>
    </xf>
    <xf numFmtId="43" fontId="1" fillId="0" borderId="4" xfId="15" applyFont="1" applyBorder="1" applyAlignment="1" applyProtection="1">
      <alignment horizontal="left" indent="3"/>
      <protection/>
    </xf>
    <xf numFmtId="0" fontId="1" fillId="0" borderId="4" xfId="15" applyNumberFormat="1" applyFont="1" applyBorder="1" applyAlignment="1" applyProtection="1">
      <alignment horizontal="left" vertical="top" indent="5"/>
      <protection/>
    </xf>
    <xf numFmtId="0" fontId="2" fillId="0" borderId="4" xfId="15" applyNumberFormat="1" applyFont="1" applyBorder="1" applyAlignment="1" applyProtection="1">
      <alignment horizontal="left" indent="2"/>
      <protection/>
    </xf>
    <xf numFmtId="0" fontId="0" fillId="0" borderId="4" xfId="0" applyBorder="1" applyAlignment="1" applyProtection="1">
      <alignment/>
      <protection/>
    </xf>
    <xf numFmtId="0" fontId="0" fillId="0" borderId="14" xfId="0" applyBorder="1" applyAlignment="1" applyProtection="1">
      <alignment/>
      <protection/>
    </xf>
    <xf numFmtId="43" fontId="8" fillId="0" borderId="4" xfId="15" applyFont="1"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164" fontId="33" fillId="0" borderId="0" xfId="0" applyNumberFormat="1" applyFont="1" applyAlignment="1">
      <alignment horizontal="center"/>
    </xf>
    <xf numFmtId="0" fontId="33" fillId="0" borderId="0" xfId="0" applyFont="1" applyAlignment="1">
      <alignment/>
    </xf>
    <xf numFmtId="0" fontId="33" fillId="0" borderId="0" xfId="0" applyFont="1" applyAlignment="1">
      <alignment horizontal="center"/>
    </xf>
    <xf numFmtId="0" fontId="34" fillId="0" borderId="0" xfId="0" applyFont="1" applyAlignment="1">
      <alignment/>
    </xf>
    <xf numFmtId="0" fontId="24" fillId="0" borderId="0" xfId="0" applyFont="1" applyBorder="1" applyAlignment="1">
      <alignment horizontal="left"/>
    </xf>
    <xf numFmtId="0" fontId="13" fillId="3" borderId="0" xfId="0" applyFont="1" applyFill="1" applyAlignment="1">
      <alignment/>
    </xf>
    <xf numFmtId="0" fontId="21" fillId="0" borderId="4" xfId="0" applyFont="1" applyBorder="1" applyAlignment="1">
      <alignment/>
    </xf>
    <xf numFmtId="169" fontId="14" fillId="0" borderId="14" xfId="15" applyNumberFormat="1" applyFont="1" applyBorder="1" applyAlignment="1">
      <alignment/>
    </xf>
    <xf numFmtId="0" fontId="14" fillId="0" borderId="0" xfId="0" applyFont="1" applyBorder="1" applyAlignment="1">
      <alignment horizontal="center"/>
    </xf>
    <xf numFmtId="0" fontId="13" fillId="0" borderId="0" xfId="0" applyFont="1" applyBorder="1" applyAlignment="1">
      <alignment/>
    </xf>
    <xf numFmtId="43" fontId="13" fillId="0" borderId="0" xfId="15" applyNumberFormat="1" applyFont="1" applyBorder="1" applyAlignment="1">
      <alignment/>
    </xf>
    <xf numFmtId="169" fontId="18" fillId="0" borderId="0" xfId="15" applyNumberFormat="1" applyFont="1" applyFill="1" applyBorder="1" applyAlignment="1">
      <alignment/>
    </xf>
    <xf numFmtId="169" fontId="18" fillId="0" borderId="0" xfId="15" applyNumberFormat="1" applyFont="1" applyBorder="1" applyAlignment="1">
      <alignment/>
    </xf>
    <xf numFmtId="169" fontId="17" fillId="0" borderId="0" xfId="15" applyNumberFormat="1" applyFont="1" applyBorder="1" applyAlignment="1">
      <alignment/>
    </xf>
    <xf numFmtId="169" fontId="20" fillId="0" borderId="0" xfId="15" applyNumberFormat="1" applyFont="1" applyBorder="1" applyAlignment="1">
      <alignment/>
    </xf>
    <xf numFmtId="169" fontId="13" fillId="0" borderId="0" xfId="15" applyNumberFormat="1" applyFont="1" applyBorder="1" applyAlignment="1">
      <alignment/>
    </xf>
    <xf numFmtId="0" fontId="13" fillId="0" borderId="0" xfId="0" applyFont="1" applyBorder="1" applyAlignment="1">
      <alignment horizontal="center"/>
    </xf>
    <xf numFmtId="4" fontId="0" fillId="0" borderId="0" xfId="0" applyNumberFormat="1" applyBorder="1" applyAlignment="1">
      <alignment/>
    </xf>
    <xf numFmtId="165" fontId="2" fillId="5" borderId="27" xfId="17" applyNumberFormat="1" applyFont="1" applyFill="1" applyBorder="1" applyAlignment="1" applyProtection="1">
      <alignment/>
      <protection/>
    </xf>
    <xf numFmtId="165" fontId="2" fillId="4" borderId="27" xfId="17" applyNumberFormat="1" applyFont="1" applyFill="1" applyBorder="1" applyAlignment="1" applyProtection="1">
      <alignment/>
      <protection/>
    </xf>
    <xf numFmtId="165" fontId="2" fillId="7" borderId="1" xfId="17" applyNumberFormat="1" applyFont="1" applyFill="1" applyBorder="1" applyAlignment="1" applyProtection="1">
      <alignment/>
      <protection/>
    </xf>
    <xf numFmtId="0" fontId="17" fillId="0" borderId="28" xfId="0" applyFont="1" applyBorder="1" applyAlignment="1">
      <alignment horizontal="center"/>
    </xf>
    <xf numFmtId="0" fontId="17" fillId="0" borderId="9" xfId="0" applyFont="1" applyBorder="1" applyAlignment="1">
      <alignment horizontal="center"/>
    </xf>
    <xf numFmtId="0" fontId="20" fillId="0" borderId="29" xfId="0" applyFont="1" applyBorder="1" applyAlignment="1">
      <alignment horizontal="center"/>
    </xf>
    <xf numFmtId="0" fontId="20" fillId="0" borderId="30" xfId="0" applyFont="1" applyBorder="1" applyAlignment="1">
      <alignment horizontal="center"/>
    </xf>
    <xf numFmtId="169" fontId="14" fillId="0" borderId="3" xfId="15" applyNumberFormat="1" applyFont="1" applyBorder="1" applyAlignment="1">
      <alignment horizontal="center"/>
    </xf>
    <xf numFmtId="0" fontId="18" fillId="0" borderId="29" xfId="0" applyFont="1" applyBorder="1" applyAlignment="1">
      <alignment horizontal="center"/>
    </xf>
    <xf numFmtId="0" fontId="18" fillId="0" borderId="30" xfId="0" applyFont="1" applyBorder="1" applyAlignment="1">
      <alignment horizontal="center"/>
    </xf>
    <xf numFmtId="169" fontId="17" fillId="0" borderId="24" xfId="15" applyNumberFormat="1" applyFont="1" applyBorder="1" applyAlignment="1">
      <alignment horizontal="center"/>
    </xf>
    <xf numFmtId="169" fontId="17" fillId="0" borderId="26" xfId="15" applyNumberFormat="1" applyFont="1" applyBorder="1" applyAlignment="1">
      <alignment horizontal="center"/>
    </xf>
    <xf numFmtId="0" fontId="17" fillId="0" borderId="25" xfId="0" applyFont="1" applyBorder="1" applyAlignment="1">
      <alignment horizontal="center"/>
    </xf>
    <xf numFmtId="0" fontId="17" fillId="0" borderId="26" xfId="0" applyFont="1" applyBorder="1" applyAlignment="1">
      <alignment horizontal="center"/>
    </xf>
    <xf numFmtId="169" fontId="13" fillId="0" borderId="29" xfId="15" applyNumberFormat="1" applyFont="1" applyBorder="1" applyAlignment="1">
      <alignment horizontal="center"/>
    </xf>
    <xf numFmtId="169" fontId="13" fillId="0" borderId="30" xfId="15" applyNumberFormat="1" applyFont="1" applyBorder="1" applyAlignment="1">
      <alignment horizontal="center"/>
    </xf>
    <xf numFmtId="0" fontId="21" fillId="0" borderId="24" xfId="0" applyFont="1" applyBorder="1" applyAlignment="1">
      <alignment horizontal="left" wrapText="1"/>
    </xf>
    <xf numFmtId="0" fontId="0" fillId="0" borderId="25" xfId="0" applyBorder="1" applyAlignment="1">
      <alignment horizontal="left"/>
    </xf>
    <xf numFmtId="0" fontId="0" fillId="0" borderId="26" xfId="0" applyBorder="1" applyAlignment="1">
      <alignment horizontal="left"/>
    </xf>
    <xf numFmtId="0" fontId="21" fillId="0" borderId="8" xfId="0" applyFont="1" applyBorder="1" applyAlignment="1">
      <alignment horizontal="left" wrapText="1"/>
    </xf>
    <xf numFmtId="0" fontId="21" fillId="0" borderId="28" xfId="0" applyFont="1" applyBorder="1" applyAlignment="1">
      <alignment horizontal="left" wrapText="1"/>
    </xf>
    <xf numFmtId="0" fontId="21" fillId="0" borderId="9" xfId="0" applyFont="1" applyBorder="1" applyAlignment="1">
      <alignment horizontal="left" wrapText="1"/>
    </xf>
    <xf numFmtId="0" fontId="21" fillId="0" borderId="4" xfId="0" applyNumberFormat="1" applyFont="1" applyBorder="1" applyAlignment="1">
      <alignment horizontal="left" vertical="top" wrapText="1"/>
    </xf>
    <xf numFmtId="0" fontId="0" fillId="0" borderId="0" xfId="0" applyBorder="1" applyAlignment="1">
      <alignment wrapText="1"/>
    </xf>
    <xf numFmtId="0" fontId="0" fillId="0" borderId="14" xfId="0" applyBorder="1" applyAlignment="1">
      <alignment wrapText="1"/>
    </xf>
    <xf numFmtId="0" fontId="21" fillId="0" borderId="4" xfId="0" applyFont="1" applyBorder="1" applyAlignment="1">
      <alignment horizontal="left" wrapText="1"/>
    </xf>
    <xf numFmtId="0" fontId="0" fillId="0" borderId="0" xfId="0" applyFont="1" applyBorder="1" applyAlignment="1">
      <alignment horizontal="left" wrapText="1"/>
    </xf>
    <xf numFmtId="0" fontId="0" fillId="0" borderId="14" xfId="0" applyFont="1" applyBorder="1" applyAlignment="1">
      <alignment horizontal="left" wrapText="1"/>
    </xf>
    <xf numFmtId="0" fontId="1" fillId="0" borderId="4" xfId="15" applyNumberFormat="1" applyFont="1" applyBorder="1" applyAlignment="1" applyProtection="1">
      <alignment horizontal="left"/>
      <protection/>
    </xf>
    <xf numFmtId="0" fontId="1" fillId="0" borderId="0" xfId="15" applyNumberFormat="1" applyFont="1" applyBorder="1" applyAlignment="1" applyProtection="1">
      <alignment horizontal="left"/>
      <protection/>
    </xf>
    <xf numFmtId="43" fontId="22" fillId="7" borderId="8" xfId="15" applyFont="1" applyFill="1" applyBorder="1" applyAlignment="1" applyProtection="1">
      <alignment horizontal="center"/>
      <protection/>
    </xf>
    <xf numFmtId="43" fontId="22" fillId="7" borderId="28" xfId="15" applyFont="1" applyFill="1" applyBorder="1" applyAlignment="1" applyProtection="1">
      <alignment horizontal="center"/>
      <protection/>
    </xf>
    <xf numFmtId="43" fontId="22" fillId="7" borderId="9" xfId="15" applyFont="1" applyFill="1" applyBorder="1" applyAlignment="1" applyProtection="1">
      <alignment horizontal="center"/>
      <protection/>
    </xf>
    <xf numFmtId="43" fontId="4" fillId="7" borderId="5" xfId="15" applyFont="1" applyFill="1" applyBorder="1" applyAlignment="1" applyProtection="1">
      <alignment horizontal="center"/>
      <protection/>
    </xf>
    <xf numFmtId="43" fontId="4" fillId="7" borderId="2" xfId="15" applyFont="1" applyFill="1" applyBorder="1" applyAlignment="1" applyProtection="1">
      <alignment horizontal="center"/>
      <protection/>
    </xf>
    <xf numFmtId="43" fontId="4" fillId="7" borderId="31" xfId="15" applyFont="1" applyFill="1" applyBorder="1" applyAlignment="1" applyProtection="1">
      <alignment horizontal="center"/>
      <protection/>
    </xf>
    <xf numFmtId="0" fontId="10" fillId="0" borderId="4" xfId="20" applyNumberFormat="1" applyFont="1" applyBorder="1" applyAlignment="1" applyProtection="1">
      <alignment horizontal="center" vertical="center"/>
      <protection/>
    </xf>
    <xf numFmtId="0" fontId="10" fillId="0" borderId="0" xfId="20" applyNumberFormat="1" applyFont="1" applyBorder="1" applyAlignment="1" applyProtection="1">
      <alignment horizontal="center" vertical="center"/>
      <protection/>
    </xf>
    <xf numFmtId="0" fontId="1" fillId="0" borderId="10" xfId="15" applyNumberFormat="1" applyFont="1" applyBorder="1" applyAlignment="1" applyProtection="1">
      <alignment horizontal="left"/>
      <protection/>
    </xf>
    <xf numFmtId="43" fontId="22" fillId="4" borderId="32" xfId="15" applyFont="1" applyFill="1" applyBorder="1" applyAlignment="1" applyProtection="1">
      <alignment horizontal="center"/>
      <protection/>
    </xf>
    <xf numFmtId="43" fontId="22" fillId="4" borderId="3" xfId="15" applyFont="1" applyFill="1" applyBorder="1" applyAlignment="1" applyProtection="1">
      <alignment horizontal="center"/>
      <protection/>
    </xf>
    <xf numFmtId="43" fontId="22" fillId="4" borderId="22" xfId="15" applyFont="1" applyFill="1" applyBorder="1" applyAlignment="1" applyProtection="1">
      <alignment horizontal="center"/>
      <protection/>
    </xf>
    <xf numFmtId="43" fontId="4" fillId="4" borderId="12" xfId="15" applyFont="1" applyFill="1" applyBorder="1" applyAlignment="1" applyProtection="1">
      <alignment horizontal="center"/>
      <protection/>
    </xf>
    <xf numFmtId="43" fontId="4" fillId="4" borderId="2" xfId="15" applyFont="1" applyFill="1" applyBorder="1" applyAlignment="1" applyProtection="1">
      <alignment horizontal="center"/>
      <protection/>
    </xf>
    <xf numFmtId="43" fontId="4" fillId="4" borderId="13" xfId="15" applyFont="1" applyFill="1" applyBorder="1" applyAlignment="1" applyProtection="1">
      <alignment horizontal="center"/>
      <protection/>
    </xf>
    <xf numFmtId="0" fontId="10" fillId="0" borderId="10" xfId="20" applyNumberFormat="1" applyFont="1" applyBorder="1" applyAlignment="1" applyProtection="1">
      <alignment horizontal="center" vertical="center"/>
      <protection/>
    </xf>
    <xf numFmtId="43" fontId="22" fillId="5" borderId="32" xfId="15" applyFont="1" applyFill="1" applyBorder="1" applyAlignment="1" applyProtection="1">
      <alignment horizontal="center"/>
      <protection/>
    </xf>
    <xf numFmtId="43" fontId="22" fillId="5" borderId="3" xfId="15" applyFont="1" applyFill="1" applyBorder="1" applyAlignment="1" applyProtection="1">
      <alignment horizontal="center"/>
      <protection/>
    </xf>
    <xf numFmtId="43" fontId="22" fillId="5" borderId="22" xfId="15" applyFont="1" applyFill="1" applyBorder="1" applyAlignment="1" applyProtection="1">
      <alignment horizontal="center"/>
      <protection/>
    </xf>
    <xf numFmtId="43" fontId="4" fillId="5" borderId="12" xfId="15" applyFont="1" applyFill="1" applyBorder="1" applyAlignment="1" applyProtection="1">
      <alignment horizontal="center"/>
      <protection/>
    </xf>
    <xf numFmtId="43" fontId="4" fillId="5" borderId="2" xfId="15" applyFont="1" applyFill="1" applyBorder="1" applyAlignment="1" applyProtection="1">
      <alignment horizontal="center"/>
      <protection/>
    </xf>
    <xf numFmtId="43" fontId="4" fillId="5" borderId="13" xfId="15" applyFont="1" applyFill="1" applyBorder="1" applyAlignment="1" applyProtection="1">
      <alignment horizontal="center"/>
      <protection/>
    </xf>
    <xf numFmtId="0" fontId="3"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8">
    <dxf>
      <font>
        <b/>
        <i val="0"/>
        <color rgb="FF0000FF"/>
      </font>
      <fill>
        <patternFill>
          <bgColor rgb="FFFFFFCC"/>
        </patternFill>
      </fill>
      <border>
        <left>
          <color rgb="FF000000"/>
        </left>
        <right>
          <color rgb="FF000000"/>
        </right>
        <top style="thin"/>
        <bottom style="thin">
          <color rgb="FF000000"/>
        </bottom>
      </border>
    </dxf>
    <dxf>
      <font>
        <b/>
        <i val="0"/>
      </font>
      <fill>
        <patternFill>
          <bgColor rgb="FFFFFFCC"/>
        </patternFill>
      </fill>
      <border>
        <left>
          <color rgb="FF000000"/>
        </left>
        <right>
          <color rgb="FF000000"/>
        </right>
        <top style="thin"/>
        <bottom style="thin">
          <color rgb="FF000000"/>
        </bottom>
      </border>
    </dxf>
    <dxf>
      <font>
        <b/>
        <i val="0"/>
        <color rgb="FF993300"/>
      </font>
      <fill>
        <patternFill>
          <bgColor rgb="FFFFFFCC"/>
        </patternFill>
      </fill>
      <border>
        <left>
          <color rgb="FF000000"/>
        </left>
        <right>
          <color rgb="FF000000"/>
        </right>
        <top style="thin"/>
        <bottom style="thin">
          <color rgb="FF000000"/>
        </bottom>
      </border>
    </dxf>
    <dxf>
      <font>
        <b/>
        <i val="0"/>
        <color rgb="FF008000"/>
      </font>
      <fill>
        <patternFill>
          <bgColor rgb="FFFFFFCC"/>
        </patternFill>
      </fill>
      <border>
        <left>
          <color rgb="FF000000"/>
        </left>
        <right>
          <color rgb="FF000000"/>
        </right>
        <top style="thin"/>
        <bottom style="thin">
          <color rgb="FF000000"/>
        </bottom>
      </border>
    </dxf>
    <dxf>
      <font>
        <b/>
        <i val="0"/>
      </font>
      <fill>
        <patternFill>
          <bgColor rgb="FFFFFFCC"/>
        </patternFill>
      </fill>
      <border>
        <left>
          <color rgb="FF000000"/>
        </left>
        <right style="thin">
          <color rgb="FF000000"/>
        </right>
        <top style="thin"/>
        <bottom style="thin">
          <color rgb="FF000000"/>
        </bottom>
      </border>
    </dxf>
    <dxf>
      <font>
        <b/>
        <i val="0"/>
      </font>
      <fill>
        <patternFill>
          <bgColor rgb="FFFFFFCC"/>
        </patternFill>
      </fill>
      <border>
        <left style="thin">
          <color rgb="FF000000"/>
        </left>
        <right>
          <color rgb="FF000000"/>
        </right>
        <top style="thin"/>
        <bottom style="thin">
          <color rgb="FF000000"/>
        </bottom>
      </border>
    </dxf>
    <dxf>
      <fill>
        <patternFill>
          <bgColor rgb="FFFFFFCC"/>
        </patternFill>
      </fill>
      <border>
        <top style="thin"/>
        <bottom style="thin">
          <color rgb="FF000000"/>
        </bottom>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oe.virginia.gov/VDOE/Finance/Budget/cdc/asr_other.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oe.virginia.gov/VDOE/Finance/Budget/cdc/asr_other.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oe.virginia.gov/VDOE/Finance/Budget/cdc/asr_other.html"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7">
    <tabColor indexed="22"/>
  </sheetPr>
  <dimension ref="A1:AE184"/>
  <sheetViews>
    <sheetView tabSelected="1" zoomScale="90" zoomScaleNormal="90" workbookViewId="0" topLeftCell="A1">
      <pane xSplit="2" ySplit="9" topLeftCell="C10" activePane="bottomRight" state="frozen"/>
      <selection pane="topLeft" activeCell="A1" sqref="A1"/>
      <selection pane="topRight" activeCell="A1" sqref="A1"/>
      <selection pane="bottomLeft" activeCell="A1" sqref="A1"/>
      <selection pane="bottomRight" activeCell="A4" sqref="A4"/>
    </sheetView>
  </sheetViews>
  <sheetFormatPr defaultColWidth="9.140625" defaultRowHeight="12.75"/>
  <cols>
    <col min="1" max="1" width="4.00390625" style="12" bestFit="1" customWidth="1"/>
    <col min="2" max="2" width="19.7109375" style="8" customWidth="1"/>
    <col min="3" max="3" width="13.7109375" style="9" customWidth="1"/>
    <col min="4" max="4" width="18.7109375" style="23" customWidth="1"/>
    <col min="5" max="5" width="11.00390625" style="9" bestFit="1" customWidth="1"/>
    <col min="6" max="6" width="18.7109375" style="9" customWidth="1"/>
    <col min="7" max="7" width="11.00390625" style="9" bestFit="1" customWidth="1"/>
    <col min="8" max="8" width="18.7109375" style="9" customWidth="1"/>
    <col min="9" max="9" width="8.00390625" style="9" customWidth="1"/>
    <col min="10" max="10" width="18.7109375" style="9" customWidth="1"/>
    <col min="11" max="11" width="7.28125" style="9" customWidth="1"/>
    <col min="12" max="12" width="18.7109375" style="9" customWidth="1"/>
    <col min="13" max="13" width="13.00390625" style="9" bestFit="1" customWidth="1"/>
    <col min="14" max="14" width="9.140625" style="40" customWidth="1"/>
    <col min="15" max="15" width="9.140625" style="41" customWidth="1"/>
    <col min="16" max="16" width="13.57421875" style="41" bestFit="1" customWidth="1"/>
    <col min="17" max="17" width="5.140625" style="41" customWidth="1"/>
    <col min="18" max="18" width="16.57421875" style="41" bestFit="1" customWidth="1"/>
    <col min="19" max="19" width="17.28125" style="41" bestFit="1" customWidth="1"/>
    <col min="20" max="26" width="9.140625" style="40" customWidth="1"/>
    <col min="27" max="16384" width="9.140625" style="8" customWidth="1"/>
  </cols>
  <sheetData>
    <row r="1" ht="12.75">
      <c r="A1" s="7" t="s">
        <v>281</v>
      </c>
    </row>
    <row r="2" ht="13.5" customHeight="1">
      <c r="A2" s="7" t="s">
        <v>608</v>
      </c>
    </row>
    <row r="3" spans="1:13" ht="13.5" customHeight="1">
      <c r="A3" s="197" t="s">
        <v>649</v>
      </c>
      <c r="B3" s="197"/>
      <c r="C3" s="10"/>
      <c r="D3" s="155"/>
      <c r="E3" s="10"/>
      <c r="F3" s="10"/>
      <c r="G3" s="10"/>
      <c r="H3" s="10"/>
      <c r="I3" s="10"/>
      <c r="J3" s="10"/>
      <c r="K3" s="10"/>
      <c r="L3" s="10"/>
      <c r="M3" s="10"/>
    </row>
    <row r="4" spans="1:13" ht="4.5" customHeight="1" thickBot="1">
      <c r="A4" s="11"/>
      <c r="C4" s="10"/>
      <c r="D4" s="155"/>
      <c r="E4" s="10"/>
      <c r="F4" s="10"/>
      <c r="G4" s="10"/>
      <c r="H4" s="10"/>
      <c r="I4" s="10"/>
      <c r="J4" s="10"/>
      <c r="K4" s="10"/>
      <c r="L4" s="10"/>
      <c r="M4" s="10"/>
    </row>
    <row r="5" spans="2:13" ht="12.75">
      <c r="B5" s="13"/>
      <c r="C5" s="14" t="s">
        <v>142</v>
      </c>
      <c r="D5" s="71"/>
      <c r="E5" s="14"/>
      <c r="F5" s="14"/>
      <c r="G5" s="14"/>
      <c r="H5" s="218"/>
      <c r="I5" s="218"/>
      <c r="J5" s="14"/>
      <c r="K5" s="14"/>
      <c r="L5" s="14"/>
      <c r="M5" s="14"/>
    </row>
    <row r="6" spans="3:13" ht="12.75">
      <c r="C6" s="15" t="s">
        <v>143</v>
      </c>
      <c r="D6" s="72"/>
      <c r="E6" s="7"/>
      <c r="F6" s="36"/>
      <c r="G6" s="37"/>
      <c r="H6" s="214" t="s">
        <v>144</v>
      </c>
      <c r="I6" s="215"/>
      <c r="J6" s="39"/>
      <c r="K6" s="24"/>
      <c r="L6" s="38"/>
      <c r="M6" s="38"/>
    </row>
    <row r="7" spans="3:13" ht="13.5" customHeight="1">
      <c r="C7" s="15" t="s">
        <v>145</v>
      </c>
      <c r="D7" s="219" t="s">
        <v>600</v>
      </c>
      <c r="E7" s="220"/>
      <c r="F7" s="221" t="s">
        <v>146</v>
      </c>
      <c r="G7" s="222"/>
      <c r="H7" s="223" t="s">
        <v>602</v>
      </c>
      <c r="I7" s="224"/>
      <c r="J7" s="216" t="s">
        <v>451</v>
      </c>
      <c r="K7" s="217"/>
      <c r="L7" s="225" t="s">
        <v>147</v>
      </c>
      <c r="M7" s="226"/>
    </row>
    <row r="8" spans="3:13" ht="12.75">
      <c r="C8" s="15" t="s">
        <v>148</v>
      </c>
      <c r="D8" s="73"/>
      <c r="E8" s="33" t="s">
        <v>149</v>
      </c>
      <c r="F8" s="16"/>
      <c r="G8" s="33" t="s">
        <v>149</v>
      </c>
      <c r="H8" s="17"/>
      <c r="I8" s="33" t="s">
        <v>149</v>
      </c>
      <c r="J8" s="16"/>
      <c r="K8" s="33" t="s">
        <v>149</v>
      </c>
      <c r="L8" s="16" t="s">
        <v>150</v>
      </c>
      <c r="M8" s="33" t="s">
        <v>151</v>
      </c>
    </row>
    <row r="9" spans="1:13" ht="17.25" customHeight="1" thickBot="1">
      <c r="A9" s="25">
        <f>'Fiscal Year 2008 Worksheet'!A5</f>
        <v>0</v>
      </c>
      <c r="B9" s="19" t="s">
        <v>286</v>
      </c>
      <c r="C9" s="18" t="s">
        <v>599</v>
      </c>
      <c r="D9" s="74" t="s">
        <v>152</v>
      </c>
      <c r="E9" s="34" t="s">
        <v>153</v>
      </c>
      <c r="F9" s="20" t="s">
        <v>152</v>
      </c>
      <c r="G9" s="34" t="s">
        <v>153</v>
      </c>
      <c r="H9" s="21" t="s">
        <v>152</v>
      </c>
      <c r="I9" s="34" t="s">
        <v>153</v>
      </c>
      <c r="J9" s="20" t="s">
        <v>152</v>
      </c>
      <c r="K9" s="34" t="s">
        <v>153</v>
      </c>
      <c r="L9" s="75" t="s">
        <v>605</v>
      </c>
      <c r="M9" s="35" t="s">
        <v>604</v>
      </c>
    </row>
    <row r="10" spans="1:15" ht="12.75">
      <c r="A10" s="22"/>
      <c r="B10" s="8" t="s">
        <v>154</v>
      </c>
      <c r="C10" s="109"/>
      <c r="E10" s="23"/>
      <c r="F10" s="23"/>
      <c r="G10" s="23"/>
      <c r="H10" s="23"/>
      <c r="I10" s="23"/>
      <c r="J10" s="23"/>
      <c r="K10" s="23"/>
      <c r="L10" s="23"/>
      <c r="M10" s="23"/>
      <c r="N10" s="156"/>
      <c r="O10" s="157"/>
    </row>
    <row r="11" spans="1:15" ht="12.75">
      <c r="A11" s="22">
        <v>1</v>
      </c>
      <c r="B11" s="8" t="s">
        <v>282</v>
      </c>
      <c r="C11" s="109">
        <v>4951.733160000001</v>
      </c>
      <c r="D11" s="23">
        <v>14617741.879999995</v>
      </c>
      <c r="E11" s="23">
        <v>2952</v>
      </c>
      <c r="F11" s="23">
        <v>26478431.990000002</v>
      </c>
      <c r="G11" s="23">
        <v>5347</v>
      </c>
      <c r="H11" s="23">
        <v>4993860.96</v>
      </c>
      <c r="I11" s="23">
        <v>1009</v>
      </c>
      <c r="J11" s="23">
        <v>5995300.620000001</v>
      </c>
      <c r="K11" s="23">
        <v>1211</v>
      </c>
      <c r="L11" s="23">
        <v>52085335.45</v>
      </c>
      <c r="M11" s="23">
        <v>10519</v>
      </c>
      <c r="N11" s="156"/>
      <c r="O11" s="157"/>
    </row>
    <row r="12" spans="1:15" ht="12.75">
      <c r="A12" s="22">
        <v>2</v>
      </c>
      <c r="B12" s="8" t="s">
        <v>155</v>
      </c>
      <c r="C12" s="109">
        <v>12477.4746</v>
      </c>
      <c r="D12" s="23">
        <v>105118859.51</v>
      </c>
      <c r="E12" s="23">
        <v>8425</v>
      </c>
      <c r="F12" s="23">
        <v>32614994.039999995</v>
      </c>
      <c r="G12" s="23">
        <v>2614</v>
      </c>
      <c r="H12" s="23">
        <v>11853401.06</v>
      </c>
      <c r="I12" s="23">
        <v>950</v>
      </c>
      <c r="J12" s="23">
        <v>6602145.140000001</v>
      </c>
      <c r="K12" s="23">
        <v>529</v>
      </c>
      <c r="L12" s="23">
        <v>156189399.75</v>
      </c>
      <c r="M12" s="23">
        <v>12518</v>
      </c>
      <c r="N12" s="156"/>
      <c r="O12" s="157"/>
    </row>
    <row r="13" spans="1:15" ht="12.75">
      <c r="A13" s="22">
        <v>3</v>
      </c>
      <c r="B13" s="8" t="s">
        <v>285</v>
      </c>
      <c r="C13" s="109">
        <v>2881.69918</v>
      </c>
      <c r="D13" s="23">
        <v>10776258.84</v>
      </c>
      <c r="E13" s="23">
        <v>3740</v>
      </c>
      <c r="F13" s="23">
        <v>16441676.03</v>
      </c>
      <c r="G13" s="23">
        <v>5706</v>
      </c>
      <c r="H13" s="23">
        <v>2398443.72</v>
      </c>
      <c r="I13" s="23">
        <v>832</v>
      </c>
      <c r="J13" s="23">
        <v>2170010.96</v>
      </c>
      <c r="K13" s="23">
        <v>753</v>
      </c>
      <c r="L13" s="23">
        <v>31786389.55</v>
      </c>
      <c r="M13" s="23">
        <v>11030</v>
      </c>
      <c r="N13" s="156"/>
      <c r="O13" s="157"/>
    </row>
    <row r="14" spans="1:15" ht="12.75">
      <c r="A14" s="22">
        <v>4</v>
      </c>
      <c r="B14" s="8" t="s">
        <v>156</v>
      </c>
      <c r="C14" s="109">
        <v>1847.30112</v>
      </c>
      <c r="D14" s="23">
        <v>4842999.79</v>
      </c>
      <c r="E14" s="23">
        <v>2622</v>
      </c>
      <c r="F14" s="23">
        <v>8878160.199999997</v>
      </c>
      <c r="G14" s="23">
        <v>4806</v>
      </c>
      <c r="H14" s="23">
        <v>1600507.36</v>
      </c>
      <c r="I14" s="23">
        <v>866</v>
      </c>
      <c r="J14" s="23">
        <v>1261890.65</v>
      </c>
      <c r="K14" s="23">
        <v>683</v>
      </c>
      <c r="L14" s="23">
        <v>16583558</v>
      </c>
      <c r="M14" s="23">
        <v>8977</v>
      </c>
      <c r="N14" s="156"/>
      <c r="O14" s="157"/>
    </row>
    <row r="15" spans="1:15" ht="12.75">
      <c r="A15" s="22">
        <v>5</v>
      </c>
      <c r="B15" s="8" t="s">
        <v>157</v>
      </c>
      <c r="C15" s="109">
        <v>4627.25455</v>
      </c>
      <c r="D15" s="23">
        <v>11565587.79</v>
      </c>
      <c r="E15" s="23">
        <v>2499</v>
      </c>
      <c r="F15" s="23">
        <v>23483406.560000006</v>
      </c>
      <c r="G15" s="23">
        <v>5075</v>
      </c>
      <c r="H15" s="23">
        <v>4267762.1</v>
      </c>
      <c r="I15" s="23">
        <v>922</v>
      </c>
      <c r="J15" s="23">
        <v>3851439.43</v>
      </c>
      <c r="K15" s="23">
        <v>832</v>
      </c>
      <c r="L15" s="23">
        <v>43168195.88</v>
      </c>
      <c r="M15" s="23">
        <v>9329</v>
      </c>
      <c r="N15" s="156"/>
      <c r="O15" s="157"/>
    </row>
    <row r="16" spans="1:15" ht="12.75">
      <c r="A16" s="22">
        <v>6</v>
      </c>
      <c r="B16" s="8" t="s">
        <v>158</v>
      </c>
      <c r="C16" s="109">
        <v>2201.68753</v>
      </c>
      <c r="D16" s="23">
        <v>4548850.61</v>
      </c>
      <c r="E16" s="23">
        <v>2066</v>
      </c>
      <c r="F16" s="23">
        <v>11718619.629999997</v>
      </c>
      <c r="G16" s="23">
        <v>5323</v>
      </c>
      <c r="H16" s="23">
        <v>2012993.32</v>
      </c>
      <c r="I16" s="23">
        <v>914</v>
      </c>
      <c r="J16" s="23">
        <v>1809396.17</v>
      </c>
      <c r="K16" s="23">
        <v>822</v>
      </c>
      <c r="L16" s="23">
        <v>20089859.73</v>
      </c>
      <c r="M16" s="23">
        <v>9125</v>
      </c>
      <c r="N16" s="156"/>
      <c r="O16" s="157"/>
    </row>
    <row r="17" spans="1:15" ht="12.75">
      <c r="A17" s="22">
        <v>7</v>
      </c>
      <c r="B17" s="8" t="s">
        <v>159</v>
      </c>
      <c r="C17" s="109">
        <v>17940.001539999997</v>
      </c>
      <c r="D17" s="23">
        <v>305882378.67</v>
      </c>
      <c r="E17" s="23">
        <v>17050</v>
      </c>
      <c r="F17" s="23">
        <v>29180121.309999995</v>
      </c>
      <c r="G17" s="23">
        <v>1627</v>
      </c>
      <c r="H17" s="23">
        <v>16883343.92</v>
      </c>
      <c r="I17" s="23">
        <v>941</v>
      </c>
      <c r="J17" s="23">
        <v>12537906.46</v>
      </c>
      <c r="K17" s="23">
        <v>699</v>
      </c>
      <c r="L17" s="23">
        <v>364483750.36</v>
      </c>
      <c r="M17" s="23">
        <v>20317</v>
      </c>
      <c r="N17" s="156"/>
      <c r="O17" s="157"/>
    </row>
    <row r="18" spans="1:15" ht="12.75">
      <c r="A18" s="22">
        <v>8</v>
      </c>
      <c r="B18" s="8" t="s">
        <v>160</v>
      </c>
      <c r="C18" s="109">
        <v>10790.21202</v>
      </c>
      <c r="D18" s="23">
        <v>33199985.27000001</v>
      </c>
      <c r="E18" s="23">
        <v>3077</v>
      </c>
      <c r="F18" s="23">
        <v>49843595.839999996</v>
      </c>
      <c r="G18" s="23">
        <v>4619</v>
      </c>
      <c r="H18" s="23">
        <v>10842046.74</v>
      </c>
      <c r="I18" s="23">
        <v>1005</v>
      </c>
      <c r="J18" s="23">
        <v>6858458.19</v>
      </c>
      <c r="K18" s="23">
        <v>636</v>
      </c>
      <c r="L18" s="23">
        <v>100744086.04</v>
      </c>
      <c r="M18" s="23">
        <v>9337</v>
      </c>
      <c r="N18" s="156"/>
      <c r="O18" s="157"/>
    </row>
    <row r="19" spans="1:15" ht="12.75">
      <c r="A19" s="22">
        <v>9</v>
      </c>
      <c r="B19" s="8" t="s">
        <v>161</v>
      </c>
      <c r="C19" s="109">
        <v>715.4827300000001</v>
      </c>
      <c r="D19" s="23">
        <v>7353371.620000001</v>
      </c>
      <c r="E19" s="23">
        <v>10277</v>
      </c>
      <c r="F19" s="23">
        <v>1309846.56</v>
      </c>
      <c r="G19" s="23">
        <v>1831</v>
      </c>
      <c r="H19" s="23">
        <v>726098.9</v>
      </c>
      <c r="I19" s="23">
        <v>1015</v>
      </c>
      <c r="J19" s="23">
        <v>666531.13</v>
      </c>
      <c r="K19" s="23">
        <v>932</v>
      </c>
      <c r="L19" s="23">
        <v>10055848.21</v>
      </c>
      <c r="M19" s="23">
        <v>14055</v>
      </c>
      <c r="N19" s="156"/>
      <c r="O19" s="157"/>
    </row>
    <row r="20" spans="1:15" ht="13.5">
      <c r="A20" s="22">
        <v>10</v>
      </c>
      <c r="B20" s="8" t="s">
        <v>633</v>
      </c>
      <c r="C20" s="109">
        <v>10761.633230000001</v>
      </c>
      <c r="D20" s="23">
        <v>33167442.029999994</v>
      </c>
      <c r="E20" s="23">
        <v>3082</v>
      </c>
      <c r="F20" s="23">
        <v>44797024.21000001</v>
      </c>
      <c r="G20" s="23">
        <v>4163</v>
      </c>
      <c r="H20" s="23">
        <v>9726765.48</v>
      </c>
      <c r="I20" s="23">
        <v>904</v>
      </c>
      <c r="J20" s="23">
        <v>6508350.509999999</v>
      </c>
      <c r="K20" s="23">
        <v>605</v>
      </c>
      <c r="L20" s="23">
        <v>94199582.23</v>
      </c>
      <c r="M20" s="23">
        <v>8753</v>
      </c>
      <c r="N20" s="156"/>
      <c r="O20" s="157"/>
    </row>
    <row r="21" spans="1:15" ht="12.75">
      <c r="A21" s="22">
        <v>11</v>
      </c>
      <c r="B21" s="8" t="s">
        <v>162</v>
      </c>
      <c r="C21" s="109">
        <v>903.80543</v>
      </c>
      <c r="D21" s="23">
        <v>2058339.95</v>
      </c>
      <c r="E21" s="23">
        <v>2277</v>
      </c>
      <c r="F21" s="23">
        <v>4957290.21</v>
      </c>
      <c r="G21" s="23">
        <v>5485</v>
      </c>
      <c r="H21" s="23">
        <v>777080.3</v>
      </c>
      <c r="I21" s="23">
        <v>860</v>
      </c>
      <c r="J21" s="23">
        <v>613775.15</v>
      </c>
      <c r="K21" s="23">
        <v>679</v>
      </c>
      <c r="L21" s="23">
        <v>8406485.61</v>
      </c>
      <c r="M21" s="23">
        <v>9301</v>
      </c>
      <c r="N21" s="156"/>
      <c r="O21" s="157"/>
    </row>
    <row r="22" spans="1:15" ht="12.75">
      <c r="A22" s="22">
        <v>12</v>
      </c>
      <c r="B22" s="8" t="s">
        <v>163</v>
      </c>
      <c r="C22" s="109">
        <v>4936.99986</v>
      </c>
      <c r="D22" s="23">
        <v>20118750.349999998</v>
      </c>
      <c r="E22" s="23">
        <v>4075</v>
      </c>
      <c r="F22" s="23">
        <v>20183486.910000004</v>
      </c>
      <c r="G22" s="23">
        <v>4088</v>
      </c>
      <c r="H22" s="23">
        <v>4819727.43</v>
      </c>
      <c r="I22" s="23">
        <v>976</v>
      </c>
      <c r="J22" s="23">
        <v>2159183.2</v>
      </c>
      <c r="K22" s="23">
        <v>437</v>
      </c>
      <c r="L22" s="23">
        <v>47281147.89</v>
      </c>
      <c r="M22" s="23">
        <v>9577</v>
      </c>
      <c r="N22" s="156"/>
      <c r="O22" s="157"/>
    </row>
    <row r="23" spans="1:15" ht="12.75">
      <c r="A23" s="22">
        <v>13</v>
      </c>
      <c r="B23" s="8" t="s">
        <v>164</v>
      </c>
      <c r="C23" s="109">
        <v>2143.24904</v>
      </c>
      <c r="D23" s="23">
        <v>4944719.38</v>
      </c>
      <c r="E23" s="23">
        <v>2307</v>
      </c>
      <c r="F23" s="23">
        <v>13112756.66</v>
      </c>
      <c r="G23" s="23">
        <v>6118</v>
      </c>
      <c r="H23" s="23">
        <v>2285963.22</v>
      </c>
      <c r="I23" s="23">
        <v>1067</v>
      </c>
      <c r="J23" s="23">
        <v>2985038.38</v>
      </c>
      <c r="K23" s="23">
        <v>1393</v>
      </c>
      <c r="L23" s="23">
        <v>23328477.64</v>
      </c>
      <c r="M23" s="23">
        <v>10885</v>
      </c>
      <c r="N23" s="156"/>
      <c r="O23" s="157"/>
    </row>
    <row r="24" spans="1:15" ht="12.75">
      <c r="A24" s="22">
        <v>14</v>
      </c>
      <c r="B24" s="8" t="s">
        <v>165</v>
      </c>
      <c r="C24" s="109">
        <v>3341.28604</v>
      </c>
      <c r="D24" s="23">
        <v>10187275.469999995</v>
      </c>
      <c r="E24" s="23">
        <v>3049</v>
      </c>
      <c r="F24" s="23">
        <v>18696465.71</v>
      </c>
      <c r="G24" s="23">
        <v>5596</v>
      </c>
      <c r="H24" s="23">
        <v>3012537.92</v>
      </c>
      <c r="I24" s="23">
        <v>902</v>
      </c>
      <c r="J24" s="23">
        <v>4587342.05</v>
      </c>
      <c r="K24" s="23">
        <v>1373</v>
      </c>
      <c r="L24" s="23">
        <v>36483621.15</v>
      </c>
      <c r="M24" s="23">
        <v>10919</v>
      </c>
      <c r="N24" s="156"/>
      <c r="O24" s="157"/>
    </row>
    <row r="25" spans="1:15" ht="12.75">
      <c r="A25" s="22">
        <v>15</v>
      </c>
      <c r="B25" s="8" t="s">
        <v>166</v>
      </c>
      <c r="C25" s="109">
        <v>2000.1887000000002</v>
      </c>
      <c r="D25" s="23">
        <v>5785786.27</v>
      </c>
      <c r="E25" s="23">
        <v>2893</v>
      </c>
      <c r="F25" s="23">
        <v>11564714.6</v>
      </c>
      <c r="G25" s="23">
        <v>5782</v>
      </c>
      <c r="H25" s="23">
        <v>2194517.95</v>
      </c>
      <c r="I25" s="23">
        <v>1097</v>
      </c>
      <c r="J25" s="23">
        <v>2194071.18</v>
      </c>
      <c r="K25" s="23">
        <v>1097</v>
      </c>
      <c r="L25" s="23">
        <v>21739090</v>
      </c>
      <c r="M25" s="23">
        <v>10869</v>
      </c>
      <c r="N25" s="156"/>
      <c r="O25" s="157"/>
    </row>
    <row r="26" spans="1:15" ht="12.75">
      <c r="A26" s="22">
        <v>16</v>
      </c>
      <c r="B26" s="8" t="s">
        <v>167</v>
      </c>
      <c r="C26" s="109">
        <v>8545.016650000001</v>
      </c>
      <c r="D26" s="23">
        <v>19333576.68</v>
      </c>
      <c r="E26" s="23">
        <v>2263</v>
      </c>
      <c r="F26" s="23">
        <v>41698797.69</v>
      </c>
      <c r="G26" s="23">
        <v>4880</v>
      </c>
      <c r="H26" s="23">
        <v>8353213.34</v>
      </c>
      <c r="I26" s="23">
        <v>978</v>
      </c>
      <c r="J26" s="23">
        <v>4927922.13</v>
      </c>
      <c r="K26" s="23">
        <v>577</v>
      </c>
      <c r="L26" s="23">
        <v>74313509.84</v>
      </c>
      <c r="M26" s="23">
        <v>8697</v>
      </c>
      <c r="N26" s="156"/>
      <c r="O26" s="157"/>
    </row>
    <row r="27" spans="1:15" ht="12.75">
      <c r="A27" s="22">
        <v>17</v>
      </c>
      <c r="B27" s="8" t="s">
        <v>168</v>
      </c>
      <c r="C27" s="109">
        <v>4051.34984</v>
      </c>
      <c r="D27" s="23">
        <v>12754200.29</v>
      </c>
      <c r="E27" s="23">
        <v>3148</v>
      </c>
      <c r="F27" s="23">
        <v>17588985.63</v>
      </c>
      <c r="G27" s="23">
        <v>4342</v>
      </c>
      <c r="H27" s="23">
        <v>4522669.1</v>
      </c>
      <c r="I27" s="23">
        <v>1116</v>
      </c>
      <c r="J27" s="23">
        <v>3022039.78</v>
      </c>
      <c r="K27" s="23">
        <v>746</v>
      </c>
      <c r="L27" s="23">
        <v>37887894.8</v>
      </c>
      <c r="M27" s="23">
        <v>9352</v>
      </c>
      <c r="N27" s="156"/>
      <c r="O27" s="157"/>
    </row>
    <row r="28" spans="1:15" ht="12.75">
      <c r="A28" s="22">
        <v>18</v>
      </c>
      <c r="B28" s="8" t="s">
        <v>169</v>
      </c>
      <c r="C28" s="109">
        <v>3962.9777400000003</v>
      </c>
      <c r="D28" s="23">
        <v>10482490.530000005</v>
      </c>
      <c r="E28" s="23">
        <v>2645</v>
      </c>
      <c r="F28" s="23">
        <v>19173636.97</v>
      </c>
      <c r="G28" s="23">
        <v>4838</v>
      </c>
      <c r="H28" s="23">
        <v>3832102.7</v>
      </c>
      <c r="I28" s="23">
        <v>967</v>
      </c>
      <c r="J28" s="23">
        <v>5149477.28</v>
      </c>
      <c r="K28" s="23">
        <v>1299</v>
      </c>
      <c r="L28" s="23">
        <v>38637707.480000004</v>
      </c>
      <c r="M28" s="23">
        <v>9750</v>
      </c>
      <c r="N28" s="156"/>
      <c r="O28" s="157"/>
    </row>
    <row r="29" spans="1:15" ht="12.75">
      <c r="A29" s="22">
        <v>19</v>
      </c>
      <c r="B29" s="8" t="s">
        <v>170</v>
      </c>
      <c r="C29" s="109">
        <v>862.64296</v>
      </c>
      <c r="D29" s="23">
        <v>5078417.47</v>
      </c>
      <c r="E29" s="23">
        <v>5887</v>
      </c>
      <c r="F29" s="23">
        <v>4488812.55</v>
      </c>
      <c r="G29" s="23">
        <v>5204</v>
      </c>
      <c r="H29" s="23">
        <v>783062.8</v>
      </c>
      <c r="I29" s="23">
        <v>908</v>
      </c>
      <c r="J29" s="23">
        <v>929105.97</v>
      </c>
      <c r="K29" s="23">
        <v>1077</v>
      </c>
      <c r="L29" s="23">
        <v>11279398.79</v>
      </c>
      <c r="M29" s="23">
        <v>13075</v>
      </c>
      <c r="N29" s="156"/>
      <c r="O29" s="157"/>
    </row>
    <row r="30" spans="1:15" ht="12.75">
      <c r="A30" s="22">
        <v>20</v>
      </c>
      <c r="B30" s="8" t="s">
        <v>171</v>
      </c>
      <c r="C30" s="109">
        <v>2101.0054999999998</v>
      </c>
      <c r="D30" s="23">
        <v>3800251.82</v>
      </c>
      <c r="E30" s="23">
        <v>1809</v>
      </c>
      <c r="F30" s="23">
        <v>12680221.110000001</v>
      </c>
      <c r="G30" s="23">
        <v>6035</v>
      </c>
      <c r="H30" s="23">
        <v>1843827.74</v>
      </c>
      <c r="I30" s="23">
        <v>878</v>
      </c>
      <c r="J30" s="23">
        <v>1856848.97</v>
      </c>
      <c r="K30" s="23">
        <v>884</v>
      </c>
      <c r="L30" s="23">
        <v>20181149.64</v>
      </c>
      <c r="M30" s="23">
        <v>9605</v>
      </c>
      <c r="N30" s="156"/>
      <c r="O30" s="157"/>
    </row>
    <row r="31" spans="1:15" ht="12.75">
      <c r="A31" s="22">
        <v>21</v>
      </c>
      <c r="B31" s="8" t="s">
        <v>172</v>
      </c>
      <c r="C31" s="109">
        <v>58162.87004</v>
      </c>
      <c r="D31" s="23">
        <v>244208168.43</v>
      </c>
      <c r="E31" s="23">
        <v>4199</v>
      </c>
      <c r="F31" s="23">
        <v>226588362.14</v>
      </c>
      <c r="G31" s="23">
        <v>3896</v>
      </c>
      <c r="H31" s="23">
        <v>49906166.61</v>
      </c>
      <c r="I31" s="23">
        <v>858</v>
      </c>
      <c r="J31" s="23">
        <v>22754165.170000006</v>
      </c>
      <c r="K31" s="23">
        <v>391</v>
      </c>
      <c r="L31" s="23">
        <v>543456862.35</v>
      </c>
      <c r="M31" s="23">
        <v>9344</v>
      </c>
      <c r="N31" s="156"/>
      <c r="O31" s="157"/>
    </row>
    <row r="32" spans="1:15" ht="12.75">
      <c r="A32" s="22">
        <v>22</v>
      </c>
      <c r="B32" s="8" t="s">
        <v>173</v>
      </c>
      <c r="C32" s="109">
        <v>2149.6940600000003</v>
      </c>
      <c r="D32" s="23">
        <v>10924523.86</v>
      </c>
      <c r="E32" s="23">
        <v>5082</v>
      </c>
      <c r="F32" s="23">
        <v>6367157.42</v>
      </c>
      <c r="G32" s="23">
        <v>2962</v>
      </c>
      <c r="H32" s="23">
        <v>1994797.2</v>
      </c>
      <c r="I32" s="23">
        <v>928</v>
      </c>
      <c r="J32" s="23">
        <v>846479.18</v>
      </c>
      <c r="K32" s="23">
        <v>394</v>
      </c>
      <c r="L32" s="23">
        <v>20132957.66</v>
      </c>
      <c r="M32" s="23">
        <v>9365</v>
      </c>
      <c r="N32" s="156"/>
      <c r="O32" s="157"/>
    </row>
    <row r="33" spans="1:15" ht="12.75">
      <c r="A33" s="22">
        <v>23</v>
      </c>
      <c r="B33" s="8" t="s">
        <v>174</v>
      </c>
      <c r="C33" s="109">
        <v>730.354</v>
      </c>
      <c r="D33" s="23">
        <v>1828011.44</v>
      </c>
      <c r="E33" s="23">
        <v>2503</v>
      </c>
      <c r="F33" s="23">
        <v>3670541.9</v>
      </c>
      <c r="G33" s="23">
        <v>5026</v>
      </c>
      <c r="H33" s="23">
        <v>735368.21</v>
      </c>
      <c r="I33" s="23">
        <v>1007</v>
      </c>
      <c r="J33" s="23">
        <v>516520.41</v>
      </c>
      <c r="K33" s="23">
        <v>707</v>
      </c>
      <c r="L33" s="23">
        <v>6750441.96</v>
      </c>
      <c r="M33" s="23">
        <v>9243</v>
      </c>
      <c r="N33" s="156"/>
      <c r="O33" s="157"/>
    </row>
    <row r="34" spans="1:15" ht="12.75">
      <c r="A34" s="22">
        <v>24</v>
      </c>
      <c r="B34" s="8" t="s">
        <v>175</v>
      </c>
      <c r="C34" s="109">
        <v>7263.15604</v>
      </c>
      <c r="D34" s="23">
        <v>29560688.61</v>
      </c>
      <c r="E34" s="23">
        <v>4070</v>
      </c>
      <c r="F34" s="23">
        <v>29144630.46</v>
      </c>
      <c r="G34" s="23">
        <v>4013</v>
      </c>
      <c r="H34" s="23">
        <v>6070650.15</v>
      </c>
      <c r="I34" s="23">
        <v>836</v>
      </c>
      <c r="J34" s="23">
        <v>3839439.89</v>
      </c>
      <c r="K34" s="23">
        <v>529</v>
      </c>
      <c r="L34" s="23">
        <v>68615409.11</v>
      </c>
      <c r="M34" s="23">
        <v>9447</v>
      </c>
      <c r="N34" s="156"/>
      <c r="O34" s="157"/>
    </row>
    <row r="35" spans="1:15" ht="12.75">
      <c r="A35" s="22">
        <v>25</v>
      </c>
      <c r="B35" s="8" t="s">
        <v>176</v>
      </c>
      <c r="C35" s="109">
        <v>1446.0775899999999</v>
      </c>
      <c r="D35" s="23">
        <v>5006089.37</v>
      </c>
      <c r="E35" s="23">
        <v>3462</v>
      </c>
      <c r="F35" s="23">
        <v>7574660.37</v>
      </c>
      <c r="G35" s="23">
        <v>5238</v>
      </c>
      <c r="H35" s="23">
        <v>1407395.92</v>
      </c>
      <c r="I35" s="23">
        <v>973</v>
      </c>
      <c r="J35" s="23">
        <v>2105310.8</v>
      </c>
      <c r="K35" s="23">
        <v>1456</v>
      </c>
      <c r="L35" s="23">
        <v>16093456.46</v>
      </c>
      <c r="M35" s="23">
        <v>11129</v>
      </c>
      <c r="N35" s="156"/>
      <c r="O35" s="157"/>
    </row>
    <row r="36" spans="1:15" ht="12.75">
      <c r="A36" s="22">
        <v>26</v>
      </c>
      <c r="B36" s="8" t="s">
        <v>177</v>
      </c>
      <c r="C36" s="109">
        <v>2462.39439</v>
      </c>
      <c r="D36" s="23">
        <v>6730953.300000001</v>
      </c>
      <c r="E36" s="23">
        <v>2733</v>
      </c>
      <c r="F36" s="23">
        <v>13605365.69</v>
      </c>
      <c r="G36" s="23">
        <v>5525</v>
      </c>
      <c r="H36" s="23">
        <v>1990592.36</v>
      </c>
      <c r="I36" s="23">
        <v>808</v>
      </c>
      <c r="J36" s="23">
        <v>2567826.68</v>
      </c>
      <c r="K36" s="23">
        <v>1043</v>
      </c>
      <c r="L36" s="23">
        <v>24894738.03</v>
      </c>
      <c r="M36" s="23">
        <v>10110</v>
      </c>
      <c r="N36" s="156"/>
      <c r="O36" s="157"/>
    </row>
    <row r="37" spans="1:15" ht="12.75">
      <c r="A37" s="22">
        <v>27</v>
      </c>
      <c r="B37" s="8" t="s">
        <v>178</v>
      </c>
      <c r="C37" s="109">
        <v>4662.784</v>
      </c>
      <c r="D37" s="23">
        <v>12545528.079999998</v>
      </c>
      <c r="E37" s="23">
        <v>2691</v>
      </c>
      <c r="F37" s="23">
        <v>23432211.700000003</v>
      </c>
      <c r="G37" s="23">
        <v>5025</v>
      </c>
      <c r="H37" s="23">
        <v>3813810.64</v>
      </c>
      <c r="I37" s="23">
        <v>818</v>
      </c>
      <c r="J37" s="23">
        <v>2523231.14</v>
      </c>
      <c r="K37" s="23">
        <v>541</v>
      </c>
      <c r="L37" s="23">
        <v>42314781.56</v>
      </c>
      <c r="M37" s="23">
        <v>9075</v>
      </c>
      <c r="N37" s="156"/>
      <c r="O37" s="157"/>
    </row>
    <row r="38" spans="1:15" ht="12.75">
      <c r="A38" s="22">
        <v>28</v>
      </c>
      <c r="B38" s="8" t="s">
        <v>179</v>
      </c>
      <c r="C38" s="109">
        <v>1616.4555</v>
      </c>
      <c r="D38" s="23">
        <v>6121536.93</v>
      </c>
      <c r="E38" s="23">
        <v>3787</v>
      </c>
      <c r="F38" s="23">
        <v>6920518.119999999</v>
      </c>
      <c r="G38" s="23">
        <v>4281</v>
      </c>
      <c r="H38" s="23">
        <v>1521652.36</v>
      </c>
      <c r="I38" s="23">
        <v>941</v>
      </c>
      <c r="J38" s="23">
        <v>1663421.88</v>
      </c>
      <c r="K38" s="23">
        <v>1029</v>
      </c>
      <c r="L38" s="23">
        <v>16227129.29</v>
      </c>
      <c r="M38" s="23">
        <v>10039</v>
      </c>
      <c r="N38" s="156"/>
      <c r="O38" s="157"/>
    </row>
    <row r="39" spans="1:15" ht="13.5">
      <c r="A39" s="22">
        <v>29</v>
      </c>
      <c r="B39" s="8" t="s">
        <v>637</v>
      </c>
      <c r="C39" s="109">
        <v>163134.27517</v>
      </c>
      <c r="D39" s="23">
        <v>1675671675.1099997</v>
      </c>
      <c r="E39" s="23">
        <v>10272</v>
      </c>
      <c r="F39" s="23">
        <v>301797852.14000005</v>
      </c>
      <c r="G39" s="23">
        <v>1850</v>
      </c>
      <c r="H39" s="23">
        <v>157877070.38</v>
      </c>
      <c r="I39" s="23">
        <v>968</v>
      </c>
      <c r="J39" s="23">
        <v>86480755.45999996</v>
      </c>
      <c r="K39" s="23">
        <v>530</v>
      </c>
      <c r="L39" s="23">
        <v>2221827353.0899997</v>
      </c>
      <c r="M39" s="23">
        <v>13620</v>
      </c>
      <c r="N39" s="156"/>
      <c r="O39" s="157"/>
    </row>
    <row r="40" spans="1:15" ht="12.75">
      <c r="A40" s="22">
        <v>30</v>
      </c>
      <c r="B40" s="8" t="s">
        <v>180</v>
      </c>
      <c r="C40" s="109">
        <v>11135.82563</v>
      </c>
      <c r="D40" s="23">
        <v>78949144.28</v>
      </c>
      <c r="E40" s="23">
        <v>7090</v>
      </c>
      <c r="F40" s="23">
        <v>27364033.01</v>
      </c>
      <c r="G40" s="23">
        <v>2457</v>
      </c>
      <c r="H40" s="23">
        <v>11255581.38</v>
      </c>
      <c r="I40" s="23">
        <v>1011</v>
      </c>
      <c r="J40" s="23">
        <v>4094807.25</v>
      </c>
      <c r="K40" s="23">
        <v>368</v>
      </c>
      <c r="L40" s="23">
        <v>121663565.92</v>
      </c>
      <c r="M40" s="23">
        <v>10925</v>
      </c>
      <c r="N40" s="156"/>
      <c r="O40" s="157"/>
    </row>
    <row r="41" spans="1:15" ht="12.75">
      <c r="A41" s="22">
        <v>31</v>
      </c>
      <c r="B41" s="8" t="s">
        <v>181</v>
      </c>
      <c r="C41" s="109">
        <v>2039.87709</v>
      </c>
      <c r="D41" s="23">
        <v>5637023.589999998</v>
      </c>
      <c r="E41" s="23">
        <v>2763</v>
      </c>
      <c r="F41" s="23">
        <v>9670238.25</v>
      </c>
      <c r="G41" s="23">
        <v>4741</v>
      </c>
      <c r="H41" s="23">
        <v>1971281.22</v>
      </c>
      <c r="I41" s="23">
        <v>966</v>
      </c>
      <c r="J41" s="23">
        <v>1324553.86</v>
      </c>
      <c r="K41" s="23">
        <v>649</v>
      </c>
      <c r="L41" s="23">
        <v>18603096.919999998</v>
      </c>
      <c r="M41" s="23">
        <v>9120</v>
      </c>
      <c r="N41" s="156"/>
      <c r="O41" s="157"/>
    </row>
    <row r="42" spans="1:15" ht="12.75">
      <c r="A42" s="22">
        <v>32</v>
      </c>
      <c r="B42" s="8" t="s">
        <v>182</v>
      </c>
      <c r="C42" s="109">
        <v>3662.6496100000004</v>
      </c>
      <c r="D42" s="23">
        <v>14024239.030000001</v>
      </c>
      <c r="E42" s="23">
        <v>3829</v>
      </c>
      <c r="F42" s="23">
        <v>15126548.37</v>
      </c>
      <c r="G42" s="23">
        <v>4130</v>
      </c>
      <c r="H42" s="23">
        <v>3031849.08</v>
      </c>
      <c r="I42" s="23">
        <v>828</v>
      </c>
      <c r="J42" s="23">
        <v>1699271.87</v>
      </c>
      <c r="K42" s="23">
        <v>464</v>
      </c>
      <c r="L42" s="23">
        <v>33881908.35</v>
      </c>
      <c r="M42" s="23">
        <v>9251</v>
      </c>
      <c r="N42" s="156"/>
      <c r="O42" s="157"/>
    </row>
    <row r="43" spans="1:15" ht="12.75">
      <c r="A43" s="22">
        <v>33</v>
      </c>
      <c r="B43" s="8" t="s">
        <v>183</v>
      </c>
      <c r="C43" s="109">
        <v>7269.17206</v>
      </c>
      <c r="D43" s="23">
        <v>26075961.17000001</v>
      </c>
      <c r="E43" s="23">
        <v>3587</v>
      </c>
      <c r="F43" s="23">
        <v>30905998.06</v>
      </c>
      <c r="G43" s="23">
        <v>4252</v>
      </c>
      <c r="H43" s="23">
        <v>7212324.76</v>
      </c>
      <c r="I43" s="23">
        <v>992</v>
      </c>
      <c r="J43" s="23">
        <v>5879413.579999998</v>
      </c>
      <c r="K43" s="23">
        <v>809</v>
      </c>
      <c r="L43" s="23">
        <v>70073697.57000001</v>
      </c>
      <c r="M43" s="23">
        <v>9640</v>
      </c>
      <c r="N43" s="156"/>
      <c r="O43" s="157"/>
    </row>
    <row r="44" spans="1:15" ht="12.75">
      <c r="A44" s="22">
        <v>34</v>
      </c>
      <c r="B44" s="8" t="s">
        <v>184</v>
      </c>
      <c r="C44" s="109">
        <v>12789.46867</v>
      </c>
      <c r="D44" s="23">
        <v>62053714.97000001</v>
      </c>
      <c r="E44" s="23">
        <v>4852</v>
      </c>
      <c r="F44" s="23">
        <v>53508079.57</v>
      </c>
      <c r="G44" s="23">
        <v>4184</v>
      </c>
      <c r="H44" s="23">
        <v>10783210.87</v>
      </c>
      <c r="I44" s="23">
        <v>843</v>
      </c>
      <c r="J44" s="23">
        <v>5187294.63</v>
      </c>
      <c r="K44" s="23">
        <v>406</v>
      </c>
      <c r="L44" s="23">
        <v>131532300.04</v>
      </c>
      <c r="M44" s="23">
        <v>10284</v>
      </c>
      <c r="N44" s="156"/>
      <c r="O44" s="157"/>
    </row>
    <row r="45" spans="1:15" ht="12.75">
      <c r="A45" s="22">
        <v>35</v>
      </c>
      <c r="B45" s="8" t="s">
        <v>185</v>
      </c>
      <c r="C45" s="109">
        <v>2529.52742</v>
      </c>
      <c r="D45" s="23">
        <v>6492395.0600000005</v>
      </c>
      <c r="E45" s="23">
        <v>2567</v>
      </c>
      <c r="F45" s="23">
        <v>12866818.43</v>
      </c>
      <c r="G45" s="23">
        <v>5087</v>
      </c>
      <c r="H45" s="23">
        <v>2395924.96</v>
      </c>
      <c r="I45" s="23">
        <v>947</v>
      </c>
      <c r="J45" s="23">
        <v>1487314.26</v>
      </c>
      <c r="K45" s="23">
        <v>588</v>
      </c>
      <c r="L45" s="23">
        <v>23242452.71</v>
      </c>
      <c r="M45" s="23">
        <v>9188</v>
      </c>
      <c r="N45" s="156"/>
      <c r="O45" s="157"/>
    </row>
    <row r="46" spans="1:15" ht="12.75">
      <c r="A46" s="22">
        <v>36</v>
      </c>
      <c r="B46" s="8" t="s">
        <v>186</v>
      </c>
      <c r="C46" s="109">
        <v>5927.26648</v>
      </c>
      <c r="D46" s="23">
        <v>23298053.550000004</v>
      </c>
      <c r="E46" s="23">
        <v>3931</v>
      </c>
      <c r="F46" s="23">
        <v>25615554.96</v>
      </c>
      <c r="G46" s="23">
        <v>4322</v>
      </c>
      <c r="H46" s="23">
        <v>6003751.12</v>
      </c>
      <c r="I46" s="23">
        <v>1013</v>
      </c>
      <c r="J46" s="23">
        <v>3366369.07</v>
      </c>
      <c r="K46" s="23">
        <v>568</v>
      </c>
      <c r="L46" s="23">
        <v>58283728.7</v>
      </c>
      <c r="M46" s="23">
        <v>9833</v>
      </c>
      <c r="N46" s="156"/>
      <c r="O46" s="157"/>
    </row>
    <row r="47" spans="1:15" ht="12.75">
      <c r="A47" s="22">
        <v>37</v>
      </c>
      <c r="B47" s="8" t="s">
        <v>187</v>
      </c>
      <c r="C47" s="109">
        <v>2366.89596</v>
      </c>
      <c r="D47" s="23">
        <v>18548698.43</v>
      </c>
      <c r="E47" s="23">
        <v>7837</v>
      </c>
      <c r="F47" s="23">
        <v>3336016.92</v>
      </c>
      <c r="G47" s="23">
        <v>1409</v>
      </c>
      <c r="H47" s="23">
        <v>2093143.23</v>
      </c>
      <c r="I47" s="23">
        <v>884</v>
      </c>
      <c r="J47" s="23">
        <v>1096504.71</v>
      </c>
      <c r="K47" s="23">
        <v>463</v>
      </c>
      <c r="L47" s="23">
        <v>25074363.29</v>
      </c>
      <c r="M47" s="23">
        <v>10594</v>
      </c>
      <c r="N47" s="156"/>
      <c r="O47" s="157"/>
    </row>
    <row r="48" spans="1:15" ht="12.75">
      <c r="A48" s="22">
        <v>38</v>
      </c>
      <c r="B48" s="8" t="s">
        <v>188</v>
      </c>
      <c r="C48" s="109">
        <v>2059.89447</v>
      </c>
      <c r="D48" s="23">
        <v>5070951.27</v>
      </c>
      <c r="E48" s="23">
        <v>2462</v>
      </c>
      <c r="F48" s="23">
        <v>11384785.200000001</v>
      </c>
      <c r="G48" s="23">
        <v>5527</v>
      </c>
      <c r="H48" s="23">
        <v>2157440.62</v>
      </c>
      <c r="I48" s="23">
        <v>1047</v>
      </c>
      <c r="J48" s="23">
        <v>1799999</v>
      </c>
      <c r="K48" s="23">
        <v>874</v>
      </c>
      <c r="L48" s="23">
        <v>20413176.090000004</v>
      </c>
      <c r="M48" s="23">
        <v>9910</v>
      </c>
      <c r="N48" s="156"/>
      <c r="O48" s="157"/>
    </row>
    <row r="49" spans="1:15" ht="12.75">
      <c r="A49" s="22">
        <v>39</v>
      </c>
      <c r="B49" s="8" t="s">
        <v>189</v>
      </c>
      <c r="C49" s="109">
        <v>2744.9941900000003</v>
      </c>
      <c r="D49" s="23">
        <v>9906112.93</v>
      </c>
      <c r="E49" s="23">
        <v>3609</v>
      </c>
      <c r="F49" s="23">
        <v>12900033.129999999</v>
      </c>
      <c r="G49" s="23">
        <v>4699</v>
      </c>
      <c r="H49" s="23">
        <v>2496594.04</v>
      </c>
      <c r="I49" s="23">
        <v>910</v>
      </c>
      <c r="J49" s="23">
        <v>1542899.03</v>
      </c>
      <c r="K49" s="23">
        <v>562</v>
      </c>
      <c r="L49" s="23">
        <v>26845639.13</v>
      </c>
      <c r="M49" s="23">
        <v>9780</v>
      </c>
      <c r="N49" s="156"/>
      <c r="O49" s="157"/>
    </row>
    <row r="50" spans="1:15" ht="13.5">
      <c r="A50" s="22">
        <v>40</v>
      </c>
      <c r="B50" s="8" t="s">
        <v>634</v>
      </c>
      <c r="C50" s="109">
        <v>2536.19996</v>
      </c>
      <c r="D50" s="23">
        <v>6017905.120000005</v>
      </c>
      <c r="E50" s="23">
        <v>2373</v>
      </c>
      <c r="F50" s="23">
        <v>14608123.86</v>
      </c>
      <c r="G50" s="23">
        <v>5760</v>
      </c>
      <c r="H50" s="23">
        <v>2328923.52</v>
      </c>
      <c r="I50" s="23">
        <v>918</v>
      </c>
      <c r="J50" s="23">
        <v>3418327.24</v>
      </c>
      <c r="K50" s="23">
        <v>1348</v>
      </c>
      <c r="L50" s="23">
        <v>26373279.740000002</v>
      </c>
      <c r="M50" s="23">
        <v>10399</v>
      </c>
      <c r="N50" s="156"/>
      <c r="O50" s="157"/>
    </row>
    <row r="51" spans="1:15" ht="12.75">
      <c r="A51" s="22">
        <v>41</v>
      </c>
      <c r="B51" s="8" t="s">
        <v>190</v>
      </c>
      <c r="C51" s="109">
        <v>5762.01082</v>
      </c>
      <c r="D51" s="23">
        <v>15846303.369999997</v>
      </c>
      <c r="E51" s="23">
        <v>2750</v>
      </c>
      <c r="F51" s="23">
        <v>33289263.66</v>
      </c>
      <c r="G51" s="23">
        <v>5777</v>
      </c>
      <c r="H51" s="23">
        <v>5668205.94</v>
      </c>
      <c r="I51" s="23">
        <v>984</v>
      </c>
      <c r="J51" s="23">
        <v>5432158.110000001</v>
      </c>
      <c r="K51" s="23">
        <v>943</v>
      </c>
      <c r="L51" s="23">
        <v>60235931.08</v>
      </c>
      <c r="M51" s="23">
        <v>10454</v>
      </c>
      <c r="N51" s="156"/>
      <c r="O51" s="157"/>
    </row>
    <row r="52" spans="1:15" ht="12.75">
      <c r="A52" s="22">
        <v>42</v>
      </c>
      <c r="B52" s="8" t="s">
        <v>191</v>
      </c>
      <c r="C52" s="109">
        <v>18755.95033</v>
      </c>
      <c r="D52" s="23">
        <v>82082425.08999999</v>
      </c>
      <c r="E52" s="23">
        <v>4376</v>
      </c>
      <c r="F52" s="23">
        <v>66572818.3</v>
      </c>
      <c r="G52" s="23">
        <v>3549</v>
      </c>
      <c r="H52" s="23">
        <v>17131560.14</v>
      </c>
      <c r="I52" s="23">
        <v>913</v>
      </c>
      <c r="J52" s="23">
        <v>6610249.570000001</v>
      </c>
      <c r="K52" s="23">
        <v>352</v>
      </c>
      <c r="L52" s="23">
        <v>172397053.1</v>
      </c>
      <c r="M52" s="23">
        <v>9192</v>
      </c>
      <c r="N52" s="156"/>
      <c r="O52" s="157"/>
    </row>
    <row r="53" spans="1:15" ht="12.75">
      <c r="A53" s="22">
        <v>43</v>
      </c>
      <c r="B53" s="8" t="s">
        <v>192</v>
      </c>
      <c r="C53" s="109">
        <v>47725.181169999996</v>
      </c>
      <c r="D53" s="23">
        <v>188493931.5</v>
      </c>
      <c r="E53" s="23">
        <v>3950</v>
      </c>
      <c r="F53" s="23">
        <v>166241120.12</v>
      </c>
      <c r="G53" s="23">
        <v>3483</v>
      </c>
      <c r="H53" s="23">
        <v>45208152.34</v>
      </c>
      <c r="I53" s="23">
        <v>947</v>
      </c>
      <c r="J53" s="23">
        <v>25411815.149999995</v>
      </c>
      <c r="K53" s="23">
        <v>532</v>
      </c>
      <c r="L53" s="23">
        <v>425355019.11</v>
      </c>
      <c r="M53" s="23">
        <v>8913</v>
      </c>
      <c r="N53" s="156"/>
      <c r="O53" s="157"/>
    </row>
    <row r="54" spans="1:15" ht="12.75">
      <c r="A54" s="22">
        <v>44</v>
      </c>
      <c r="B54" s="8" t="s">
        <v>193</v>
      </c>
      <c r="C54" s="109">
        <v>7373.82729</v>
      </c>
      <c r="D54" s="23">
        <v>14707571.970000014</v>
      </c>
      <c r="E54" s="23">
        <v>1995</v>
      </c>
      <c r="F54" s="23">
        <v>38939465.96999999</v>
      </c>
      <c r="G54" s="23">
        <v>5281</v>
      </c>
      <c r="H54" s="23">
        <v>8202984.04</v>
      </c>
      <c r="I54" s="23">
        <v>1112</v>
      </c>
      <c r="J54" s="23">
        <v>7469400.86</v>
      </c>
      <c r="K54" s="23">
        <v>1013</v>
      </c>
      <c r="L54" s="23">
        <v>69319422.84</v>
      </c>
      <c r="M54" s="23">
        <v>9401</v>
      </c>
      <c r="N54" s="156"/>
      <c r="O54" s="157"/>
    </row>
    <row r="55" spans="1:15" ht="12.75">
      <c r="A55" s="22">
        <v>45</v>
      </c>
      <c r="B55" s="8" t="s">
        <v>194</v>
      </c>
      <c r="C55" s="109">
        <v>269.6222</v>
      </c>
      <c r="D55" s="23">
        <v>1859868.24</v>
      </c>
      <c r="E55" s="23">
        <v>6898</v>
      </c>
      <c r="F55" s="23">
        <v>1563442.6</v>
      </c>
      <c r="G55" s="23">
        <v>5799</v>
      </c>
      <c r="H55" s="23">
        <v>284260.02</v>
      </c>
      <c r="I55" s="23">
        <v>1054</v>
      </c>
      <c r="J55" s="23">
        <v>332241.35</v>
      </c>
      <c r="K55" s="23">
        <v>1232</v>
      </c>
      <c r="L55" s="23">
        <v>4039812.21</v>
      </c>
      <c r="M55" s="23">
        <v>14983</v>
      </c>
      <c r="N55" s="156"/>
      <c r="O55" s="157"/>
    </row>
    <row r="56" spans="1:15" ht="12.75">
      <c r="A56" s="22">
        <v>46</v>
      </c>
      <c r="B56" s="8" t="s">
        <v>195</v>
      </c>
      <c r="C56" s="109">
        <v>5316.788320000001</v>
      </c>
      <c r="D56" s="23">
        <v>23949461.509999998</v>
      </c>
      <c r="E56" s="23">
        <v>4504</v>
      </c>
      <c r="F56" s="23">
        <v>21379178.97</v>
      </c>
      <c r="G56" s="23">
        <v>4021</v>
      </c>
      <c r="H56" s="23">
        <v>5456555.84</v>
      </c>
      <c r="I56" s="23">
        <v>1026</v>
      </c>
      <c r="J56" s="23">
        <v>3350458.55</v>
      </c>
      <c r="K56" s="23">
        <v>630</v>
      </c>
      <c r="L56" s="23">
        <v>54135654.87</v>
      </c>
      <c r="M56" s="23">
        <v>10182</v>
      </c>
      <c r="N56" s="156"/>
      <c r="O56" s="157"/>
    </row>
    <row r="57" spans="1:15" ht="12.75">
      <c r="A57" s="22">
        <v>48</v>
      </c>
      <c r="B57" s="8" t="s">
        <v>197</v>
      </c>
      <c r="C57" s="109">
        <v>3888.1125399999996</v>
      </c>
      <c r="D57" s="23">
        <v>11432111.380000003</v>
      </c>
      <c r="E57" s="23">
        <v>2940</v>
      </c>
      <c r="F57" s="23">
        <v>15759221.01</v>
      </c>
      <c r="G57" s="23">
        <v>4053</v>
      </c>
      <c r="H57" s="23">
        <v>2954604.5</v>
      </c>
      <c r="I57" s="23">
        <v>760</v>
      </c>
      <c r="J57" s="23">
        <v>1366857.97</v>
      </c>
      <c r="K57" s="23">
        <v>352</v>
      </c>
      <c r="L57" s="23">
        <v>31512794.86</v>
      </c>
      <c r="M57" s="23">
        <v>8105</v>
      </c>
      <c r="N57" s="156"/>
      <c r="O57" s="157"/>
    </row>
    <row r="58" spans="1:15" ht="12.75">
      <c r="A58" s="22">
        <v>49</v>
      </c>
      <c r="B58" s="8" t="s">
        <v>196</v>
      </c>
      <c r="C58" s="109">
        <v>786.48326</v>
      </c>
      <c r="D58" s="23">
        <v>4841651.7</v>
      </c>
      <c r="E58" s="23">
        <v>6156</v>
      </c>
      <c r="F58" s="23">
        <v>4317234.21</v>
      </c>
      <c r="G58" s="23">
        <v>5489</v>
      </c>
      <c r="H58" s="23">
        <v>871175</v>
      </c>
      <c r="I58" s="23">
        <v>1108</v>
      </c>
      <c r="J58" s="23">
        <v>1063099.09</v>
      </c>
      <c r="K58" s="23">
        <v>1352</v>
      </c>
      <c r="L58" s="23">
        <v>11093160</v>
      </c>
      <c r="M58" s="23">
        <v>14105</v>
      </c>
      <c r="N58" s="156"/>
      <c r="O58" s="157"/>
    </row>
    <row r="59" spans="1:15" ht="12.75">
      <c r="A59" s="22">
        <v>50</v>
      </c>
      <c r="B59" s="8" t="s">
        <v>198</v>
      </c>
      <c r="C59" s="109">
        <v>2117.74435</v>
      </c>
      <c r="D59" s="23">
        <v>7100952.819999998</v>
      </c>
      <c r="E59" s="23">
        <v>3353</v>
      </c>
      <c r="F59" s="23">
        <v>10137608.32</v>
      </c>
      <c r="G59" s="23">
        <v>4787</v>
      </c>
      <c r="H59" s="23">
        <v>1839923</v>
      </c>
      <c r="I59" s="23">
        <v>869</v>
      </c>
      <c r="J59" s="23">
        <v>1378380.83</v>
      </c>
      <c r="K59" s="23">
        <v>651</v>
      </c>
      <c r="L59" s="23">
        <v>20456864.97</v>
      </c>
      <c r="M59" s="23">
        <v>9660</v>
      </c>
      <c r="N59" s="156"/>
      <c r="O59" s="157"/>
    </row>
    <row r="60" spans="1:15" ht="12.75">
      <c r="A60" s="22">
        <v>51</v>
      </c>
      <c r="B60" s="8" t="s">
        <v>199</v>
      </c>
      <c r="C60" s="109">
        <v>1333.88887</v>
      </c>
      <c r="D60" s="23">
        <v>9217801.520000001</v>
      </c>
      <c r="E60" s="23">
        <v>6910</v>
      </c>
      <c r="F60" s="23">
        <v>3172187.87</v>
      </c>
      <c r="G60" s="23">
        <v>2378</v>
      </c>
      <c r="H60" s="23">
        <v>1327283.56</v>
      </c>
      <c r="I60" s="23">
        <v>995</v>
      </c>
      <c r="J60" s="23">
        <v>1241531.17</v>
      </c>
      <c r="K60" s="23">
        <v>931</v>
      </c>
      <c r="L60" s="23">
        <v>14958804.120000001</v>
      </c>
      <c r="M60" s="23">
        <v>11214</v>
      </c>
      <c r="N60" s="156"/>
      <c r="O60" s="157"/>
    </row>
    <row r="61" spans="1:15" ht="12.75">
      <c r="A61" s="22">
        <v>52</v>
      </c>
      <c r="B61" s="8" t="s">
        <v>200</v>
      </c>
      <c r="C61" s="109">
        <v>3448.56096</v>
      </c>
      <c r="D61" s="23">
        <v>9216881.57</v>
      </c>
      <c r="E61" s="23">
        <v>2673</v>
      </c>
      <c r="F61" s="23">
        <v>23406262.53</v>
      </c>
      <c r="G61" s="23">
        <v>6787</v>
      </c>
      <c r="H61" s="23">
        <v>3620452.58</v>
      </c>
      <c r="I61" s="23">
        <v>1050</v>
      </c>
      <c r="J61" s="23">
        <v>4652006.2</v>
      </c>
      <c r="K61" s="23">
        <v>1349</v>
      </c>
      <c r="L61" s="23">
        <v>40895602.88</v>
      </c>
      <c r="M61" s="23">
        <v>11859</v>
      </c>
      <c r="N61" s="156"/>
      <c r="O61" s="157"/>
    </row>
    <row r="62" spans="1:15" ht="12.75">
      <c r="A62" s="22">
        <v>53</v>
      </c>
      <c r="B62" s="8" t="s">
        <v>201</v>
      </c>
      <c r="C62" s="109">
        <v>53478.89291</v>
      </c>
      <c r="D62" s="23">
        <v>535590243.9499999</v>
      </c>
      <c r="E62" s="23">
        <v>10015</v>
      </c>
      <c r="F62" s="23">
        <v>118546195.77</v>
      </c>
      <c r="G62" s="23">
        <v>2217</v>
      </c>
      <c r="H62" s="23">
        <v>46011495.79</v>
      </c>
      <c r="I62" s="23">
        <v>860</v>
      </c>
      <c r="J62" s="23">
        <v>18617724.28</v>
      </c>
      <c r="K62" s="23">
        <v>348</v>
      </c>
      <c r="L62" s="23">
        <v>718765659.79</v>
      </c>
      <c r="M62" s="23">
        <v>13440</v>
      </c>
      <c r="N62" s="156"/>
      <c r="O62" s="157"/>
    </row>
    <row r="63" spans="1:15" ht="12.75">
      <c r="A63" s="22">
        <v>54</v>
      </c>
      <c r="B63" s="8" t="s">
        <v>202</v>
      </c>
      <c r="C63" s="109">
        <v>4581.6443500000005</v>
      </c>
      <c r="D63" s="23">
        <v>24145279.87</v>
      </c>
      <c r="E63" s="23">
        <v>5270</v>
      </c>
      <c r="F63" s="23">
        <v>13396103.58</v>
      </c>
      <c r="G63" s="23">
        <v>2924</v>
      </c>
      <c r="H63" s="23">
        <v>4380655.22</v>
      </c>
      <c r="I63" s="23">
        <v>956</v>
      </c>
      <c r="J63" s="23">
        <v>2635823.42</v>
      </c>
      <c r="K63" s="23">
        <v>575</v>
      </c>
      <c r="L63" s="23">
        <v>44557862.09</v>
      </c>
      <c r="M63" s="23">
        <v>9725</v>
      </c>
      <c r="N63" s="156"/>
      <c r="O63" s="157"/>
    </row>
    <row r="64" spans="1:15" ht="12.75">
      <c r="A64" s="22">
        <v>55</v>
      </c>
      <c r="B64" s="8" t="s">
        <v>203</v>
      </c>
      <c r="C64" s="109">
        <v>1620.69265</v>
      </c>
      <c r="D64" s="23">
        <v>3306284.72</v>
      </c>
      <c r="E64" s="23">
        <v>2040</v>
      </c>
      <c r="F64" s="23">
        <v>9475349.77</v>
      </c>
      <c r="G64" s="23">
        <v>5846</v>
      </c>
      <c r="H64" s="23">
        <v>1736457.78</v>
      </c>
      <c r="I64" s="23">
        <v>1071</v>
      </c>
      <c r="J64" s="23">
        <v>2035443.31</v>
      </c>
      <c r="K64" s="23">
        <v>1256</v>
      </c>
      <c r="L64" s="23">
        <v>16553535.58</v>
      </c>
      <c r="M64" s="23">
        <v>10214</v>
      </c>
      <c r="N64" s="156"/>
      <c r="O64" s="157"/>
    </row>
    <row r="65" spans="1:15" ht="12.75">
      <c r="A65" s="22">
        <v>56</v>
      </c>
      <c r="B65" s="8" t="s">
        <v>204</v>
      </c>
      <c r="C65" s="109">
        <v>1845.58913</v>
      </c>
      <c r="D65" s="23">
        <v>7658615.770000001</v>
      </c>
      <c r="E65" s="23">
        <v>4150</v>
      </c>
      <c r="F65" s="23">
        <v>7492730.459999999</v>
      </c>
      <c r="G65" s="23">
        <v>4060</v>
      </c>
      <c r="H65" s="23">
        <v>1854641.98</v>
      </c>
      <c r="I65" s="23">
        <v>1005</v>
      </c>
      <c r="J65" s="23">
        <v>973896.46</v>
      </c>
      <c r="K65" s="23">
        <v>528</v>
      </c>
      <c r="L65" s="23">
        <v>17979884.67</v>
      </c>
      <c r="M65" s="23">
        <v>9742</v>
      </c>
      <c r="N65" s="156"/>
      <c r="O65" s="157"/>
    </row>
    <row r="66" spans="1:15" ht="12.75">
      <c r="A66" s="22">
        <v>57</v>
      </c>
      <c r="B66" s="8" t="s">
        <v>205</v>
      </c>
      <c r="C66" s="109">
        <v>1277.98332</v>
      </c>
      <c r="D66" s="23">
        <v>5603213.0600000005</v>
      </c>
      <c r="E66" s="23">
        <v>4384</v>
      </c>
      <c r="F66" s="23">
        <v>4802175.27</v>
      </c>
      <c r="G66" s="23">
        <v>3758</v>
      </c>
      <c r="H66" s="23">
        <v>1089920.76</v>
      </c>
      <c r="I66" s="23">
        <v>853</v>
      </c>
      <c r="J66" s="23">
        <v>731603.35</v>
      </c>
      <c r="K66" s="23">
        <v>572</v>
      </c>
      <c r="L66" s="23">
        <v>12226912.44</v>
      </c>
      <c r="M66" s="23">
        <v>9567</v>
      </c>
      <c r="N66" s="156"/>
      <c r="O66" s="157"/>
    </row>
    <row r="67" spans="1:15" ht="12.75">
      <c r="A67" s="22">
        <v>58</v>
      </c>
      <c r="B67" s="8" t="s">
        <v>206</v>
      </c>
      <c r="C67" s="109">
        <v>4658.18871</v>
      </c>
      <c r="D67" s="23">
        <v>10919301.299999993</v>
      </c>
      <c r="E67" s="23">
        <v>2344</v>
      </c>
      <c r="F67" s="23">
        <v>23329476.640000004</v>
      </c>
      <c r="G67" s="23">
        <v>5008</v>
      </c>
      <c r="H67" s="23">
        <v>3951059.32</v>
      </c>
      <c r="I67" s="23">
        <v>848</v>
      </c>
      <c r="J67" s="23">
        <v>4144818.57</v>
      </c>
      <c r="K67" s="23">
        <v>890</v>
      </c>
      <c r="L67" s="23">
        <v>42344655.83</v>
      </c>
      <c r="M67" s="23">
        <v>9090</v>
      </c>
      <c r="N67" s="156"/>
      <c r="O67" s="157"/>
    </row>
    <row r="68" spans="1:15" ht="12.75">
      <c r="A68" s="22">
        <v>59</v>
      </c>
      <c r="B68" s="8" t="s">
        <v>207</v>
      </c>
      <c r="C68" s="109">
        <v>1255.34998</v>
      </c>
      <c r="D68" s="23">
        <v>6780453.6899999995</v>
      </c>
      <c r="E68" s="23">
        <v>5401</v>
      </c>
      <c r="F68" s="23">
        <v>3592410.65</v>
      </c>
      <c r="G68" s="23">
        <v>2862</v>
      </c>
      <c r="H68" s="23">
        <v>1235140.5</v>
      </c>
      <c r="I68" s="23">
        <v>984</v>
      </c>
      <c r="J68" s="23">
        <v>888368.85</v>
      </c>
      <c r="K68" s="23">
        <v>708</v>
      </c>
      <c r="L68" s="23">
        <v>12496373.69</v>
      </c>
      <c r="M68" s="23">
        <v>9954</v>
      </c>
      <c r="N68" s="156"/>
      <c r="O68" s="157"/>
    </row>
    <row r="69" spans="1:15" ht="12.75">
      <c r="A69" s="22">
        <v>60</v>
      </c>
      <c r="B69" s="8" t="s">
        <v>208</v>
      </c>
      <c r="C69" s="109">
        <v>9589.12274</v>
      </c>
      <c r="D69" s="23">
        <v>36432091.68000002</v>
      </c>
      <c r="E69" s="23">
        <v>3799</v>
      </c>
      <c r="F69" s="23">
        <v>41053565.209999986</v>
      </c>
      <c r="G69" s="23">
        <v>4281</v>
      </c>
      <c r="H69" s="23">
        <v>10036385.94</v>
      </c>
      <c r="I69" s="23">
        <v>1047</v>
      </c>
      <c r="J69" s="23">
        <v>6429254.26</v>
      </c>
      <c r="K69" s="23">
        <v>670</v>
      </c>
      <c r="L69" s="23">
        <v>93951297.09</v>
      </c>
      <c r="M69" s="23">
        <v>9798</v>
      </c>
      <c r="N69" s="156"/>
      <c r="O69" s="157"/>
    </row>
    <row r="70" spans="1:15" ht="12.75">
      <c r="A70" s="22">
        <v>62</v>
      </c>
      <c r="B70" s="8" t="s">
        <v>209</v>
      </c>
      <c r="C70" s="109">
        <v>2044.92138</v>
      </c>
      <c r="D70" s="23">
        <v>10546999.539999997</v>
      </c>
      <c r="E70" s="23">
        <v>5158</v>
      </c>
      <c r="F70" s="23">
        <v>7958927.330000001</v>
      </c>
      <c r="G70" s="23">
        <v>3892</v>
      </c>
      <c r="H70" s="23">
        <v>2131087.72</v>
      </c>
      <c r="I70" s="23">
        <v>1042</v>
      </c>
      <c r="J70" s="23">
        <v>1800639.11</v>
      </c>
      <c r="K70" s="23">
        <v>881</v>
      </c>
      <c r="L70" s="23">
        <v>22437653.7</v>
      </c>
      <c r="M70" s="23">
        <v>10972</v>
      </c>
      <c r="N70" s="156"/>
      <c r="O70" s="157"/>
    </row>
    <row r="71" spans="1:15" ht="12.75">
      <c r="A71" s="22">
        <v>63</v>
      </c>
      <c r="B71" s="8" t="s">
        <v>210</v>
      </c>
      <c r="C71" s="109">
        <v>2718.20561</v>
      </c>
      <c r="D71" s="23">
        <v>10772548.549999999</v>
      </c>
      <c r="E71" s="23">
        <v>3963</v>
      </c>
      <c r="F71" s="23">
        <v>10608151.09</v>
      </c>
      <c r="G71" s="23">
        <v>3903</v>
      </c>
      <c r="H71" s="23">
        <v>2590293.82</v>
      </c>
      <c r="I71" s="23">
        <v>953</v>
      </c>
      <c r="J71" s="23">
        <v>959716.85</v>
      </c>
      <c r="K71" s="23">
        <v>353</v>
      </c>
      <c r="L71" s="23">
        <v>24930710.31</v>
      </c>
      <c r="M71" s="23">
        <v>9172</v>
      </c>
      <c r="N71" s="156"/>
      <c r="O71" s="157"/>
    </row>
    <row r="72" spans="1:15" ht="12.75">
      <c r="A72" s="22">
        <v>65</v>
      </c>
      <c r="B72" s="8" t="s">
        <v>211</v>
      </c>
      <c r="C72" s="109">
        <v>1805.27768</v>
      </c>
      <c r="D72" s="23">
        <v>7776265.560000002</v>
      </c>
      <c r="E72" s="23">
        <v>4308</v>
      </c>
      <c r="F72" s="23">
        <v>9591843.1</v>
      </c>
      <c r="G72" s="23">
        <v>5313</v>
      </c>
      <c r="H72" s="23">
        <v>1785121.82</v>
      </c>
      <c r="I72" s="23">
        <v>989</v>
      </c>
      <c r="J72" s="23">
        <v>2418747.51</v>
      </c>
      <c r="K72" s="23">
        <v>1340</v>
      </c>
      <c r="L72" s="23">
        <v>21571977.990000002</v>
      </c>
      <c r="M72" s="23">
        <v>11949</v>
      </c>
      <c r="N72" s="156"/>
      <c r="O72" s="157"/>
    </row>
    <row r="73" spans="1:15" ht="12.75">
      <c r="A73" s="22">
        <v>66</v>
      </c>
      <c r="B73" s="8" t="s">
        <v>212</v>
      </c>
      <c r="C73" s="109">
        <v>1433.91004</v>
      </c>
      <c r="D73" s="23">
        <v>8110176.6</v>
      </c>
      <c r="E73" s="23">
        <v>5656</v>
      </c>
      <c r="F73" s="23">
        <v>3778565.58</v>
      </c>
      <c r="G73" s="23">
        <v>2635</v>
      </c>
      <c r="H73" s="23">
        <v>1428727.08</v>
      </c>
      <c r="I73" s="23">
        <v>996</v>
      </c>
      <c r="J73" s="23">
        <v>1348360.73</v>
      </c>
      <c r="K73" s="23">
        <v>940</v>
      </c>
      <c r="L73" s="23">
        <v>14665829.99</v>
      </c>
      <c r="M73" s="23">
        <v>10228</v>
      </c>
      <c r="N73" s="156"/>
      <c r="O73" s="157"/>
    </row>
    <row r="74" spans="1:15" ht="12.75">
      <c r="A74" s="22">
        <v>67</v>
      </c>
      <c r="B74" s="8" t="s">
        <v>213</v>
      </c>
      <c r="C74" s="109">
        <v>2222.58882</v>
      </c>
      <c r="D74" s="23">
        <v>4736645.3</v>
      </c>
      <c r="E74" s="23">
        <v>2131</v>
      </c>
      <c r="F74" s="23">
        <v>12389234.36</v>
      </c>
      <c r="G74" s="23">
        <v>5574</v>
      </c>
      <c r="H74" s="23">
        <v>2197607.78</v>
      </c>
      <c r="I74" s="23">
        <v>989</v>
      </c>
      <c r="J74" s="23">
        <v>3227704.33</v>
      </c>
      <c r="K74" s="23">
        <v>1452</v>
      </c>
      <c r="L74" s="23">
        <v>22551191.77</v>
      </c>
      <c r="M74" s="23">
        <v>10146</v>
      </c>
      <c r="N74" s="156"/>
      <c r="O74" s="157"/>
    </row>
    <row r="75" spans="1:15" ht="12.75">
      <c r="A75" s="22">
        <v>68</v>
      </c>
      <c r="B75" s="8" t="s">
        <v>214</v>
      </c>
      <c r="C75" s="109">
        <v>5045.78815</v>
      </c>
      <c r="D75" s="23">
        <v>17806700.51</v>
      </c>
      <c r="E75" s="23">
        <v>3529</v>
      </c>
      <c r="F75" s="23">
        <v>20209773.799999997</v>
      </c>
      <c r="G75" s="23">
        <v>4005</v>
      </c>
      <c r="H75" s="23">
        <v>4279986.14</v>
      </c>
      <c r="I75" s="23">
        <v>848</v>
      </c>
      <c r="J75" s="23">
        <v>2579210.23</v>
      </c>
      <c r="K75" s="23">
        <v>511</v>
      </c>
      <c r="L75" s="23">
        <v>44875670.68</v>
      </c>
      <c r="M75" s="23">
        <v>8894</v>
      </c>
      <c r="N75" s="156"/>
      <c r="O75" s="157"/>
    </row>
    <row r="76" spans="1:15" ht="12.75">
      <c r="A76" s="22">
        <v>69</v>
      </c>
      <c r="B76" s="8" t="s">
        <v>215</v>
      </c>
      <c r="C76" s="109">
        <v>3567.09994</v>
      </c>
      <c r="D76" s="23">
        <v>9847247.719999999</v>
      </c>
      <c r="E76" s="23">
        <v>2761</v>
      </c>
      <c r="F76" s="23">
        <v>19947292.939999998</v>
      </c>
      <c r="G76" s="23">
        <v>5592</v>
      </c>
      <c r="H76" s="23">
        <v>3087465.1</v>
      </c>
      <c r="I76" s="23">
        <v>866</v>
      </c>
      <c r="J76" s="23">
        <v>2559094.14</v>
      </c>
      <c r="K76" s="23">
        <v>717</v>
      </c>
      <c r="L76" s="23">
        <v>35441099.9</v>
      </c>
      <c r="M76" s="23">
        <v>9936</v>
      </c>
      <c r="N76" s="156"/>
      <c r="O76" s="157"/>
    </row>
    <row r="77" spans="1:15" ht="12.75">
      <c r="A77" s="22">
        <v>70</v>
      </c>
      <c r="B77" s="8" t="s">
        <v>216</v>
      </c>
      <c r="C77" s="109">
        <v>2564.4110800000003</v>
      </c>
      <c r="D77" s="23">
        <v>5809354.23</v>
      </c>
      <c r="E77" s="23">
        <v>2265</v>
      </c>
      <c r="F77" s="23">
        <v>14128904.28</v>
      </c>
      <c r="G77" s="23">
        <v>5510</v>
      </c>
      <c r="H77" s="23">
        <v>2400760.96</v>
      </c>
      <c r="I77" s="23">
        <v>936</v>
      </c>
      <c r="J77" s="23">
        <v>2410530.76</v>
      </c>
      <c r="K77" s="23">
        <v>940</v>
      </c>
      <c r="L77" s="23">
        <v>24749550.23</v>
      </c>
      <c r="M77" s="23">
        <v>9651</v>
      </c>
      <c r="N77" s="156"/>
      <c r="O77" s="157"/>
    </row>
    <row r="78" spans="1:15" ht="12.75">
      <c r="A78" s="22">
        <v>71</v>
      </c>
      <c r="B78" s="8" t="s">
        <v>217</v>
      </c>
      <c r="C78" s="109">
        <v>9082.110850000001</v>
      </c>
      <c r="D78" s="23">
        <v>17330611.76999999</v>
      </c>
      <c r="E78" s="23">
        <v>1908</v>
      </c>
      <c r="F78" s="23">
        <v>44730795.010000005</v>
      </c>
      <c r="G78" s="23">
        <v>4925</v>
      </c>
      <c r="H78" s="23">
        <v>8643666.48</v>
      </c>
      <c r="I78" s="23">
        <v>952</v>
      </c>
      <c r="J78" s="23">
        <v>7787211.6000000015</v>
      </c>
      <c r="K78" s="23">
        <v>857</v>
      </c>
      <c r="L78" s="23">
        <v>78492284.86</v>
      </c>
      <c r="M78" s="23">
        <v>8643</v>
      </c>
      <c r="N78" s="156"/>
      <c r="O78" s="157"/>
    </row>
    <row r="79" spans="1:15" ht="12.75">
      <c r="A79" s="22">
        <v>72</v>
      </c>
      <c r="B79" s="8" t="s">
        <v>218</v>
      </c>
      <c r="C79" s="109">
        <v>4348.40701</v>
      </c>
      <c r="D79" s="23">
        <v>20036353.41</v>
      </c>
      <c r="E79" s="23">
        <v>4608</v>
      </c>
      <c r="F79" s="23">
        <v>17577204.380000003</v>
      </c>
      <c r="G79" s="23">
        <v>4042</v>
      </c>
      <c r="H79" s="23">
        <v>3853303.96</v>
      </c>
      <c r="I79" s="23">
        <v>886</v>
      </c>
      <c r="J79" s="23">
        <v>1527890.74</v>
      </c>
      <c r="K79" s="23">
        <v>351</v>
      </c>
      <c r="L79" s="23">
        <v>42994752.49</v>
      </c>
      <c r="M79" s="23">
        <v>9887</v>
      </c>
      <c r="N79" s="156"/>
      <c r="O79" s="157"/>
    </row>
    <row r="80" spans="1:15" ht="12.75">
      <c r="A80" s="22">
        <v>73</v>
      </c>
      <c r="B80" s="8" t="s">
        <v>219</v>
      </c>
      <c r="C80" s="109">
        <v>2532.69414</v>
      </c>
      <c r="D80" s="23">
        <v>7533418.189999998</v>
      </c>
      <c r="E80" s="23">
        <v>2974</v>
      </c>
      <c r="F80" s="23">
        <v>13831953.85</v>
      </c>
      <c r="G80" s="23">
        <v>5461</v>
      </c>
      <c r="H80" s="23">
        <v>2960011.6</v>
      </c>
      <c r="I80" s="23">
        <v>1169</v>
      </c>
      <c r="J80" s="23">
        <v>2567328.9</v>
      </c>
      <c r="K80" s="23">
        <v>1014</v>
      </c>
      <c r="L80" s="23">
        <v>26892712.54</v>
      </c>
      <c r="M80" s="23">
        <v>10618</v>
      </c>
      <c r="N80" s="156"/>
      <c r="O80" s="157"/>
    </row>
    <row r="81" spans="1:15" ht="12.75">
      <c r="A81" s="22">
        <v>74</v>
      </c>
      <c r="B81" s="8" t="s">
        <v>220</v>
      </c>
      <c r="C81" s="109">
        <v>6152.973580000001</v>
      </c>
      <c r="D81" s="23">
        <v>11877207.289999992</v>
      </c>
      <c r="E81" s="23">
        <v>1930</v>
      </c>
      <c r="F81" s="23">
        <v>31279422.560000002</v>
      </c>
      <c r="G81" s="23">
        <v>5084</v>
      </c>
      <c r="H81" s="23">
        <v>5591007.73</v>
      </c>
      <c r="I81" s="23">
        <v>909</v>
      </c>
      <c r="J81" s="23">
        <v>6104090.69</v>
      </c>
      <c r="K81" s="23">
        <v>992</v>
      </c>
      <c r="L81" s="23">
        <v>54851728.269999996</v>
      </c>
      <c r="M81" s="23">
        <v>8915</v>
      </c>
      <c r="N81" s="156"/>
      <c r="O81" s="157"/>
    </row>
    <row r="82" spans="1:15" ht="12.75">
      <c r="A82" s="22">
        <v>75</v>
      </c>
      <c r="B82" s="8" t="s">
        <v>221</v>
      </c>
      <c r="C82" s="109">
        <v>71321.33737000001</v>
      </c>
      <c r="D82" s="23">
        <v>363796114.90000004</v>
      </c>
      <c r="E82" s="23">
        <v>5101</v>
      </c>
      <c r="F82" s="23">
        <v>302875592.84</v>
      </c>
      <c r="G82" s="23">
        <v>4247</v>
      </c>
      <c r="H82" s="23">
        <v>62997957.38</v>
      </c>
      <c r="I82" s="23">
        <v>883</v>
      </c>
      <c r="J82" s="23">
        <v>32194172.759999998</v>
      </c>
      <c r="K82" s="23">
        <v>451</v>
      </c>
      <c r="L82" s="23">
        <v>761863837.88</v>
      </c>
      <c r="M82" s="23">
        <v>10682</v>
      </c>
      <c r="N82" s="156"/>
      <c r="O82" s="157"/>
    </row>
    <row r="83" spans="1:15" ht="12.75">
      <c r="A83" s="22">
        <v>77</v>
      </c>
      <c r="B83" s="8" t="s">
        <v>222</v>
      </c>
      <c r="C83" s="109">
        <v>4786.81657</v>
      </c>
      <c r="D83" s="23">
        <v>12232201.650000002</v>
      </c>
      <c r="E83" s="23">
        <v>2555</v>
      </c>
      <c r="F83" s="23">
        <v>22873192.61</v>
      </c>
      <c r="G83" s="23">
        <v>4778</v>
      </c>
      <c r="H83" s="23">
        <v>4579830.08</v>
      </c>
      <c r="I83" s="23">
        <v>957</v>
      </c>
      <c r="J83" s="23">
        <v>4172331.19</v>
      </c>
      <c r="K83" s="23">
        <v>872</v>
      </c>
      <c r="L83" s="23">
        <v>43857555.53</v>
      </c>
      <c r="M83" s="23">
        <v>9162</v>
      </c>
      <c r="N83" s="156"/>
      <c r="O83" s="157"/>
    </row>
    <row r="84" spans="1:15" ht="12.75">
      <c r="A84" s="22">
        <v>78</v>
      </c>
      <c r="B84" s="8" t="s">
        <v>223</v>
      </c>
      <c r="C84" s="109">
        <v>944.3841</v>
      </c>
      <c r="D84" s="23">
        <v>8132030.77</v>
      </c>
      <c r="E84" s="23">
        <v>8611</v>
      </c>
      <c r="F84" s="23">
        <v>1818424.3</v>
      </c>
      <c r="G84" s="23">
        <v>1926</v>
      </c>
      <c r="H84" s="23">
        <v>1103052.36</v>
      </c>
      <c r="I84" s="23">
        <v>1168</v>
      </c>
      <c r="J84" s="23">
        <v>484350.41</v>
      </c>
      <c r="K84" s="23">
        <v>513</v>
      </c>
      <c r="L84" s="23">
        <v>11537857.84</v>
      </c>
      <c r="M84" s="23">
        <v>12217</v>
      </c>
      <c r="N84" s="156"/>
      <c r="O84" s="157"/>
    </row>
    <row r="85" spans="1:15" ht="12.75">
      <c r="A85" s="22">
        <v>79</v>
      </c>
      <c r="B85" s="8" t="s">
        <v>224</v>
      </c>
      <c r="C85" s="109">
        <v>1207.89438</v>
      </c>
      <c r="D85" s="23">
        <v>4446758.83</v>
      </c>
      <c r="E85" s="23">
        <v>3681</v>
      </c>
      <c r="F85" s="23">
        <v>5619499.01</v>
      </c>
      <c r="G85" s="23">
        <v>4652</v>
      </c>
      <c r="H85" s="23">
        <v>1031987.34</v>
      </c>
      <c r="I85" s="23">
        <v>854</v>
      </c>
      <c r="J85" s="23">
        <v>781680.78</v>
      </c>
      <c r="K85" s="23">
        <v>647</v>
      </c>
      <c r="L85" s="23">
        <v>11879925.96</v>
      </c>
      <c r="M85" s="23">
        <v>9835</v>
      </c>
      <c r="N85" s="156"/>
      <c r="O85" s="157"/>
    </row>
    <row r="86" spans="1:15" ht="12.75">
      <c r="A86" s="22">
        <v>80</v>
      </c>
      <c r="B86" s="8" t="s">
        <v>225</v>
      </c>
      <c r="C86" s="109">
        <v>14871.43902</v>
      </c>
      <c r="D86" s="23">
        <v>60228261.14999999</v>
      </c>
      <c r="E86" s="23">
        <v>4050</v>
      </c>
      <c r="F86" s="23">
        <v>59980542.70999999</v>
      </c>
      <c r="G86" s="23">
        <v>4033</v>
      </c>
      <c r="H86" s="23">
        <v>14342770.28</v>
      </c>
      <c r="I86" s="23">
        <v>964</v>
      </c>
      <c r="J86" s="23">
        <v>6537817.34</v>
      </c>
      <c r="K86" s="23">
        <v>440</v>
      </c>
      <c r="L86" s="23">
        <v>141089391.48</v>
      </c>
      <c r="M86" s="23">
        <v>9487</v>
      </c>
      <c r="N86" s="156"/>
      <c r="O86" s="157"/>
    </row>
    <row r="87" spans="1:15" ht="12.75">
      <c r="A87" s="22">
        <v>81</v>
      </c>
      <c r="B87" s="8" t="s">
        <v>226</v>
      </c>
      <c r="C87" s="109">
        <v>2800.83859</v>
      </c>
      <c r="D87" s="23">
        <v>12133262.11</v>
      </c>
      <c r="E87" s="23">
        <v>4332</v>
      </c>
      <c r="F87" s="23">
        <v>9874125.15</v>
      </c>
      <c r="G87" s="23">
        <v>3525</v>
      </c>
      <c r="H87" s="23">
        <v>2708194.3</v>
      </c>
      <c r="I87" s="23">
        <v>967</v>
      </c>
      <c r="J87" s="23">
        <v>2655461.62</v>
      </c>
      <c r="K87" s="23">
        <v>948</v>
      </c>
      <c r="L87" s="23">
        <v>27371043.18</v>
      </c>
      <c r="M87" s="23">
        <v>9772</v>
      </c>
      <c r="N87" s="156"/>
      <c r="O87" s="157"/>
    </row>
    <row r="88" spans="1:15" ht="12.75">
      <c r="A88" s="22">
        <v>82</v>
      </c>
      <c r="B88" s="8" t="s">
        <v>227</v>
      </c>
      <c r="C88" s="109">
        <v>11431.1683</v>
      </c>
      <c r="D88" s="23">
        <v>42142877.11999999</v>
      </c>
      <c r="E88" s="23">
        <v>3687</v>
      </c>
      <c r="F88" s="23">
        <v>49302121.38</v>
      </c>
      <c r="G88" s="23">
        <v>4313</v>
      </c>
      <c r="H88" s="23">
        <v>11580820.07</v>
      </c>
      <c r="I88" s="23">
        <v>1013</v>
      </c>
      <c r="J88" s="23">
        <v>7091061.06</v>
      </c>
      <c r="K88" s="23">
        <v>620</v>
      </c>
      <c r="L88" s="23">
        <v>110116879.63</v>
      </c>
      <c r="M88" s="23">
        <v>9633</v>
      </c>
      <c r="N88" s="156"/>
      <c r="O88" s="157"/>
    </row>
    <row r="89" spans="1:15" ht="12.75">
      <c r="A89" s="22">
        <v>83</v>
      </c>
      <c r="B89" s="8" t="s">
        <v>228</v>
      </c>
      <c r="C89" s="109">
        <v>4131.3386900000005</v>
      </c>
      <c r="D89" s="23">
        <v>7144051.760000002</v>
      </c>
      <c r="E89" s="23">
        <v>1729</v>
      </c>
      <c r="F89" s="23">
        <v>22089183.720000003</v>
      </c>
      <c r="G89" s="23">
        <v>5347</v>
      </c>
      <c r="H89" s="23">
        <v>3899305.5</v>
      </c>
      <c r="I89" s="23">
        <v>944</v>
      </c>
      <c r="J89" s="23">
        <v>5899025.820000001</v>
      </c>
      <c r="K89" s="23">
        <v>1428</v>
      </c>
      <c r="L89" s="23">
        <v>39031566.800000004</v>
      </c>
      <c r="M89" s="23">
        <v>9448</v>
      </c>
      <c r="N89" s="156"/>
      <c r="O89" s="157"/>
    </row>
    <row r="90" spans="1:15" ht="12.75">
      <c r="A90" s="22">
        <v>84</v>
      </c>
      <c r="B90" s="8" t="s">
        <v>229</v>
      </c>
      <c r="C90" s="109">
        <v>3826.23328</v>
      </c>
      <c r="D90" s="23">
        <v>6440584.43</v>
      </c>
      <c r="E90" s="23">
        <v>1683</v>
      </c>
      <c r="F90" s="23">
        <v>23767697.990000002</v>
      </c>
      <c r="G90" s="23">
        <v>6212</v>
      </c>
      <c r="H90" s="23">
        <v>3298342.82</v>
      </c>
      <c r="I90" s="23">
        <v>862</v>
      </c>
      <c r="J90" s="23">
        <v>3529685.64</v>
      </c>
      <c r="K90" s="23">
        <v>922</v>
      </c>
      <c r="L90" s="23">
        <v>37036310.88</v>
      </c>
      <c r="M90" s="23">
        <v>9680</v>
      </c>
      <c r="N90" s="156"/>
      <c r="O90" s="157"/>
    </row>
    <row r="91" spans="1:15" ht="12.75">
      <c r="A91" s="22">
        <v>85</v>
      </c>
      <c r="B91" s="8" t="s">
        <v>230</v>
      </c>
      <c r="C91" s="109">
        <v>6138.91992</v>
      </c>
      <c r="D91" s="23">
        <v>25098713.320000008</v>
      </c>
      <c r="E91" s="23">
        <v>4088</v>
      </c>
      <c r="F91" s="23">
        <v>26590117.38</v>
      </c>
      <c r="G91" s="23">
        <v>4331</v>
      </c>
      <c r="H91" s="23">
        <v>5503503.06</v>
      </c>
      <c r="I91" s="23">
        <v>896</v>
      </c>
      <c r="J91" s="23">
        <v>2995465.55</v>
      </c>
      <c r="K91" s="23">
        <v>488</v>
      </c>
      <c r="L91" s="23">
        <v>60187799.31</v>
      </c>
      <c r="M91" s="23">
        <v>9804</v>
      </c>
      <c r="N91" s="156"/>
      <c r="O91" s="157"/>
    </row>
    <row r="92" spans="1:15" ht="12.75">
      <c r="A92" s="22">
        <v>86</v>
      </c>
      <c r="B92" s="8" t="s">
        <v>231</v>
      </c>
      <c r="C92" s="109">
        <v>4870.88319</v>
      </c>
      <c r="D92" s="23">
        <v>9671338.959999993</v>
      </c>
      <c r="E92" s="23">
        <v>1986</v>
      </c>
      <c r="F92" s="23">
        <v>27875254.130000003</v>
      </c>
      <c r="G92" s="23">
        <v>5723</v>
      </c>
      <c r="H92" s="23">
        <v>4152667.62</v>
      </c>
      <c r="I92" s="23">
        <v>853</v>
      </c>
      <c r="J92" s="23">
        <v>5133532.37</v>
      </c>
      <c r="K92" s="23">
        <v>1054</v>
      </c>
      <c r="L92" s="23">
        <v>46832793.08</v>
      </c>
      <c r="M92" s="23">
        <v>9615</v>
      </c>
      <c r="N92" s="156"/>
      <c r="O92" s="157"/>
    </row>
    <row r="93" spans="1:15" ht="12.75">
      <c r="A93" s="22">
        <v>87</v>
      </c>
      <c r="B93" s="8" t="s">
        <v>232</v>
      </c>
      <c r="C93" s="109">
        <v>2804.40557</v>
      </c>
      <c r="D93" s="23">
        <v>8193877.32</v>
      </c>
      <c r="E93" s="23">
        <v>2922</v>
      </c>
      <c r="F93" s="23">
        <v>14673704.8</v>
      </c>
      <c r="G93" s="23">
        <v>5232</v>
      </c>
      <c r="H93" s="23">
        <v>3167799.5</v>
      </c>
      <c r="I93" s="23">
        <v>1130</v>
      </c>
      <c r="J93" s="23">
        <v>2417081.34</v>
      </c>
      <c r="K93" s="23">
        <v>862</v>
      </c>
      <c r="L93" s="23">
        <v>28452462.96</v>
      </c>
      <c r="M93" s="23">
        <v>10146</v>
      </c>
      <c r="N93" s="156"/>
      <c r="O93" s="157"/>
    </row>
    <row r="94" spans="1:15" ht="12.75">
      <c r="A94" s="22">
        <v>88</v>
      </c>
      <c r="B94" s="8" t="s">
        <v>233</v>
      </c>
      <c r="C94" s="109">
        <v>23898.20428</v>
      </c>
      <c r="D94" s="23">
        <v>103669076.67</v>
      </c>
      <c r="E94" s="23">
        <v>4338</v>
      </c>
      <c r="F94" s="23">
        <v>98878017.63</v>
      </c>
      <c r="G94" s="23">
        <v>4137</v>
      </c>
      <c r="H94" s="23">
        <v>21921234.23</v>
      </c>
      <c r="I94" s="23">
        <v>917</v>
      </c>
      <c r="J94" s="23">
        <v>10263834.310000002</v>
      </c>
      <c r="K94" s="23">
        <v>429</v>
      </c>
      <c r="L94" s="23">
        <v>234732162.84</v>
      </c>
      <c r="M94" s="23">
        <v>9822</v>
      </c>
      <c r="N94" s="156"/>
      <c r="O94" s="157"/>
    </row>
    <row r="95" spans="1:15" ht="12.75">
      <c r="A95" s="22">
        <v>89</v>
      </c>
      <c r="B95" s="8" t="s">
        <v>234</v>
      </c>
      <c r="C95" s="109">
        <v>26142.31021</v>
      </c>
      <c r="D95" s="23">
        <v>100930296.31000003</v>
      </c>
      <c r="E95" s="23">
        <v>3861</v>
      </c>
      <c r="F95" s="23">
        <v>107498878.00999998</v>
      </c>
      <c r="G95" s="23">
        <v>4112</v>
      </c>
      <c r="H95" s="23">
        <v>24468789.78</v>
      </c>
      <c r="I95" s="23">
        <v>936</v>
      </c>
      <c r="J95" s="23">
        <v>11144535.769999996</v>
      </c>
      <c r="K95" s="23">
        <v>426</v>
      </c>
      <c r="L95" s="23">
        <v>244042499.87</v>
      </c>
      <c r="M95" s="23">
        <v>9335</v>
      </c>
      <c r="N95" s="156"/>
      <c r="O95" s="157"/>
    </row>
    <row r="96" spans="1:15" ht="12.75">
      <c r="A96" s="22">
        <v>90</v>
      </c>
      <c r="B96" s="8" t="s">
        <v>235</v>
      </c>
      <c r="C96" s="109">
        <v>992.48329</v>
      </c>
      <c r="D96" s="23">
        <v>10957270.719999999</v>
      </c>
      <c r="E96" s="23">
        <v>11040</v>
      </c>
      <c r="F96" s="23">
        <v>1868206.91</v>
      </c>
      <c r="G96" s="23">
        <v>1882</v>
      </c>
      <c r="H96" s="23">
        <v>1020400.6</v>
      </c>
      <c r="I96" s="23">
        <v>1028</v>
      </c>
      <c r="J96" s="23">
        <v>1014688.19</v>
      </c>
      <c r="K96" s="23">
        <v>1022</v>
      </c>
      <c r="L96" s="23">
        <v>14860566.42</v>
      </c>
      <c r="M96" s="23">
        <v>14973</v>
      </c>
      <c r="N96" s="156"/>
      <c r="O96" s="157"/>
    </row>
    <row r="97" spans="1:15" ht="12.75">
      <c r="A97" s="22">
        <v>91</v>
      </c>
      <c r="B97" s="8" t="s">
        <v>236</v>
      </c>
      <c r="C97" s="109">
        <v>1286.7888</v>
      </c>
      <c r="D97" s="23">
        <v>9041620.510000002</v>
      </c>
      <c r="E97" s="23">
        <v>7026</v>
      </c>
      <c r="F97" s="23">
        <v>7546019.22</v>
      </c>
      <c r="G97" s="23">
        <v>5864</v>
      </c>
      <c r="H97" s="23">
        <v>1307149.72</v>
      </c>
      <c r="I97" s="23">
        <v>1016</v>
      </c>
      <c r="J97" s="23">
        <v>1737339.81</v>
      </c>
      <c r="K97" s="23">
        <v>1350</v>
      </c>
      <c r="L97" s="23">
        <v>19632129.26</v>
      </c>
      <c r="M97" s="23">
        <v>15257</v>
      </c>
      <c r="N97" s="156"/>
      <c r="O97" s="157"/>
    </row>
    <row r="98" spans="1:15" ht="12.75">
      <c r="A98" s="22">
        <v>92</v>
      </c>
      <c r="B98" s="8" t="s">
        <v>237</v>
      </c>
      <c r="C98" s="109">
        <v>6664.761039999999</v>
      </c>
      <c r="D98" s="23">
        <v>12265511.010000005</v>
      </c>
      <c r="E98" s="23">
        <v>1840</v>
      </c>
      <c r="F98" s="23">
        <v>34253609.44</v>
      </c>
      <c r="G98" s="23">
        <v>5140</v>
      </c>
      <c r="H98" s="23">
        <v>6504764.56</v>
      </c>
      <c r="I98" s="23">
        <v>976</v>
      </c>
      <c r="J98" s="23">
        <v>6561518.9799999995</v>
      </c>
      <c r="K98" s="23">
        <v>985</v>
      </c>
      <c r="L98" s="23">
        <v>59585403.99</v>
      </c>
      <c r="M98" s="23">
        <v>8940</v>
      </c>
      <c r="N98" s="156"/>
      <c r="O98" s="157"/>
    </row>
    <row r="99" spans="1:15" ht="12.75">
      <c r="A99" s="22">
        <v>93</v>
      </c>
      <c r="B99" s="8" t="s">
        <v>238</v>
      </c>
      <c r="C99" s="109">
        <v>5262.20734</v>
      </c>
      <c r="D99" s="23">
        <v>18241157.609999996</v>
      </c>
      <c r="E99" s="23">
        <v>3466</v>
      </c>
      <c r="F99" s="23">
        <v>21157731.64</v>
      </c>
      <c r="G99" s="23">
        <v>4021</v>
      </c>
      <c r="H99" s="23">
        <v>5216983.24</v>
      </c>
      <c r="I99" s="23">
        <v>991</v>
      </c>
      <c r="J99" s="23">
        <v>2691697.98</v>
      </c>
      <c r="K99" s="23">
        <v>512</v>
      </c>
      <c r="L99" s="23">
        <v>47307570.47</v>
      </c>
      <c r="M99" s="23">
        <v>8990</v>
      </c>
      <c r="N99" s="156"/>
      <c r="O99" s="157"/>
    </row>
    <row r="100" spans="1:15" ht="12.75">
      <c r="A100" s="22">
        <v>94</v>
      </c>
      <c r="B100" s="8" t="s">
        <v>239</v>
      </c>
      <c r="C100" s="109">
        <v>7314.7693</v>
      </c>
      <c r="D100" s="23">
        <v>22533797.679999992</v>
      </c>
      <c r="E100" s="23">
        <v>3081</v>
      </c>
      <c r="F100" s="23">
        <v>32496485.800000004</v>
      </c>
      <c r="G100" s="23">
        <v>4443</v>
      </c>
      <c r="H100" s="23">
        <v>6621403.88</v>
      </c>
      <c r="I100" s="23">
        <v>905</v>
      </c>
      <c r="J100" s="23">
        <v>5956011.48</v>
      </c>
      <c r="K100" s="23">
        <v>814</v>
      </c>
      <c r="L100" s="23">
        <v>67607698.84</v>
      </c>
      <c r="M100" s="23">
        <v>9243</v>
      </c>
      <c r="N100" s="156"/>
      <c r="O100" s="157"/>
    </row>
    <row r="101" spans="1:15" ht="12.75">
      <c r="A101" s="22">
        <v>95</v>
      </c>
      <c r="B101" s="8" t="s">
        <v>240</v>
      </c>
      <c r="C101" s="109">
        <v>1727.11707</v>
      </c>
      <c r="D101" s="23">
        <v>5678446.989999998</v>
      </c>
      <c r="E101" s="23">
        <v>3288</v>
      </c>
      <c r="F101" s="23">
        <v>7884433.11</v>
      </c>
      <c r="G101" s="23">
        <v>4565</v>
      </c>
      <c r="H101" s="23">
        <v>1698272.46</v>
      </c>
      <c r="I101" s="23">
        <v>983</v>
      </c>
      <c r="J101" s="23">
        <v>1972833.23</v>
      </c>
      <c r="K101" s="23">
        <v>1142</v>
      </c>
      <c r="L101" s="23">
        <v>17233985.79</v>
      </c>
      <c r="M101" s="23">
        <v>9978</v>
      </c>
      <c r="N101" s="156"/>
      <c r="O101" s="157"/>
    </row>
    <row r="102" spans="1:15" ht="12.75">
      <c r="A102" s="22">
        <v>96</v>
      </c>
      <c r="B102" s="8" t="s">
        <v>241</v>
      </c>
      <c r="C102" s="109">
        <v>6556.69423</v>
      </c>
      <c r="D102" s="23">
        <v>14635277.489999995</v>
      </c>
      <c r="E102" s="23">
        <v>2232</v>
      </c>
      <c r="F102" s="23">
        <v>34172092.72</v>
      </c>
      <c r="G102" s="23">
        <v>5212</v>
      </c>
      <c r="H102" s="23">
        <v>6009626.96</v>
      </c>
      <c r="I102" s="23">
        <v>917</v>
      </c>
      <c r="J102" s="23">
        <v>8999025.91</v>
      </c>
      <c r="K102" s="23">
        <v>1372</v>
      </c>
      <c r="L102" s="23">
        <v>63816023.08</v>
      </c>
      <c r="M102" s="23">
        <v>9733</v>
      </c>
      <c r="N102" s="156"/>
      <c r="O102" s="157"/>
    </row>
    <row r="103" spans="1:15" ht="12.75">
      <c r="A103" s="22">
        <v>97</v>
      </c>
      <c r="B103" s="8" t="s">
        <v>242</v>
      </c>
      <c r="C103" s="109">
        <v>4270.96749</v>
      </c>
      <c r="D103" s="23">
        <v>10645787.130000003</v>
      </c>
      <c r="E103" s="23">
        <v>2493</v>
      </c>
      <c r="F103" s="23">
        <v>20170519.749999996</v>
      </c>
      <c r="G103" s="23">
        <v>4723</v>
      </c>
      <c r="H103" s="23">
        <v>3914754.34</v>
      </c>
      <c r="I103" s="23">
        <v>917</v>
      </c>
      <c r="J103" s="23">
        <v>4374786.14</v>
      </c>
      <c r="K103" s="23">
        <v>1024</v>
      </c>
      <c r="L103" s="23">
        <v>39105847.36</v>
      </c>
      <c r="M103" s="23">
        <v>9156</v>
      </c>
      <c r="N103" s="156"/>
      <c r="O103" s="157"/>
    </row>
    <row r="104" spans="1:15" ht="12.75">
      <c r="A104" s="22">
        <v>98</v>
      </c>
      <c r="B104" s="8" t="s">
        <v>243</v>
      </c>
      <c r="C104" s="109">
        <v>12756.3957</v>
      </c>
      <c r="D104" s="23">
        <v>45030509.17</v>
      </c>
      <c r="E104" s="23">
        <v>3530</v>
      </c>
      <c r="F104" s="23">
        <v>49987117.74</v>
      </c>
      <c r="G104" s="23">
        <v>3919</v>
      </c>
      <c r="H104" s="23">
        <v>10937057.54</v>
      </c>
      <c r="I104" s="23">
        <v>857</v>
      </c>
      <c r="J104" s="23">
        <v>13545786.93</v>
      </c>
      <c r="K104" s="23">
        <v>1062</v>
      </c>
      <c r="L104" s="23">
        <v>119500471.38000001</v>
      </c>
      <c r="M104" s="23">
        <v>9368</v>
      </c>
      <c r="N104" s="156"/>
      <c r="O104" s="157"/>
    </row>
    <row r="105" spans="1:15" ht="12.75">
      <c r="A105" s="22"/>
      <c r="B105" s="8" t="s">
        <v>244</v>
      </c>
      <c r="C105" s="109" t="s">
        <v>622</v>
      </c>
      <c r="E105" s="23"/>
      <c r="F105" s="23"/>
      <c r="G105" s="23"/>
      <c r="H105" s="23"/>
      <c r="I105" s="23"/>
      <c r="J105" s="23"/>
      <c r="K105" s="23"/>
      <c r="L105" s="23"/>
      <c r="M105" s="23"/>
      <c r="N105" s="156"/>
      <c r="O105" s="157"/>
    </row>
    <row r="106" spans="1:15" ht="12.75">
      <c r="A106" s="22">
        <v>101</v>
      </c>
      <c r="B106" s="8" t="s">
        <v>245</v>
      </c>
      <c r="C106" s="109">
        <v>10488.87005</v>
      </c>
      <c r="D106" s="23">
        <v>157926882.15</v>
      </c>
      <c r="E106" s="23">
        <v>15057</v>
      </c>
      <c r="F106" s="23">
        <v>17645337.3</v>
      </c>
      <c r="G106" s="23">
        <v>1682</v>
      </c>
      <c r="H106" s="23">
        <v>10714593.17</v>
      </c>
      <c r="I106" s="23">
        <v>1022</v>
      </c>
      <c r="J106" s="23">
        <v>9036500.54</v>
      </c>
      <c r="K106" s="23">
        <v>862</v>
      </c>
      <c r="L106" s="23">
        <v>195323313.16</v>
      </c>
      <c r="M106" s="23">
        <v>18622</v>
      </c>
      <c r="N106" s="156"/>
      <c r="O106" s="157"/>
    </row>
    <row r="107" spans="1:15" ht="12.75">
      <c r="A107" s="22">
        <v>102</v>
      </c>
      <c r="B107" s="8" t="s">
        <v>246</v>
      </c>
      <c r="C107" s="109">
        <v>2275.05589</v>
      </c>
      <c r="D107" s="23">
        <v>6305894.869999999</v>
      </c>
      <c r="E107" s="23">
        <v>2772</v>
      </c>
      <c r="F107" s="23">
        <v>11530135.81</v>
      </c>
      <c r="G107" s="23">
        <v>5068</v>
      </c>
      <c r="H107" s="23">
        <v>2256536.94</v>
      </c>
      <c r="I107" s="23">
        <v>992</v>
      </c>
      <c r="J107" s="23">
        <v>2596253.46</v>
      </c>
      <c r="K107" s="23">
        <v>1141</v>
      </c>
      <c r="L107" s="23">
        <v>22688821.08</v>
      </c>
      <c r="M107" s="23">
        <v>9973</v>
      </c>
      <c r="N107" s="156"/>
      <c r="O107" s="157"/>
    </row>
    <row r="108" spans="1:15" ht="12.75">
      <c r="A108" s="22">
        <v>103</v>
      </c>
      <c r="B108" s="8" t="s">
        <v>247</v>
      </c>
      <c r="C108" s="109">
        <v>1152.7595999999999</v>
      </c>
      <c r="D108" s="23">
        <v>2623043.21</v>
      </c>
      <c r="E108" s="23">
        <v>2275</v>
      </c>
      <c r="F108" s="23">
        <v>6303031.05</v>
      </c>
      <c r="G108" s="23">
        <v>5468</v>
      </c>
      <c r="H108" s="23">
        <v>939293.81</v>
      </c>
      <c r="I108" s="23">
        <v>815</v>
      </c>
      <c r="J108" s="23">
        <v>502824.33</v>
      </c>
      <c r="K108" s="23">
        <v>436</v>
      </c>
      <c r="L108" s="23">
        <v>10368192.4</v>
      </c>
      <c r="M108" s="23">
        <v>8994</v>
      </c>
      <c r="N108" s="156"/>
      <c r="O108" s="157"/>
    </row>
    <row r="109" spans="1:15" ht="12.75">
      <c r="A109" s="22">
        <v>104</v>
      </c>
      <c r="B109" s="8" t="s">
        <v>248</v>
      </c>
      <c r="C109" s="109">
        <v>3904.91112</v>
      </c>
      <c r="D109" s="23">
        <v>39088247.54</v>
      </c>
      <c r="E109" s="23">
        <v>10010</v>
      </c>
      <c r="F109" s="23">
        <v>11548508.14</v>
      </c>
      <c r="G109" s="23">
        <v>2957</v>
      </c>
      <c r="H109" s="23">
        <v>4917388.84</v>
      </c>
      <c r="I109" s="23">
        <v>1259</v>
      </c>
      <c r="J109" s="23">
        <v>5028206.17</v>
      </c>
      <c r="K109" s="23">
        <v>1288</v>
      </c>
      <c r="L109" s="23">
        <v>60582350.69</v>
      </c>
      <c r="M109" s="23">
        <v>15514</v>
      </c>
      <c r="N109" s="156"/>
      <c r="O109" s="157"/>
    </row>
    <row r="110" spans="1:15" ht="12.75">
      <c r="A110" s="22">
        <v>106</v>
      </c>
      <c r="B110" s="8" t="s">
        <v>277</v>
      </c>
      <c r="C110" s="109">
        <v>2884.6741899999997</v>
      </c>
      <c r="D110" s="23">
        <v>18628974.080000002</v>
      </c>
      <c r="E110" s="23">
        <v>6458</v>
      </c>
      <c r="F110" s="23">
        <v>10402763.469999999</v>
      </c>
      <c r="G110" s="23">
        <v>3606</v>
      </c>
      <c r="H110" s="23">
        <v>2635207.64</v>
      </c>
      <c r="I110" s="23">
        <v>914</v>
      </c>
      <c r="J110" s="23">
        <v>1331058.14</v>
      </c>
      <c r="K110" s="23">
        <v>461</v>
      </c>
      <c r="L110" s="23">
        <v>32998003.330000002</v>
      </c>
      <c r="M110" s="23">
        <v>11439</v>
      </c>
      <c r="N110" s="156"/>
      <c r="O110" s="157"/>
    </row>
    <row r="111" spans="1:15" ht="12.75">
      <c r="A111" s="22">
        <v>107</v>
      </c>
      <c r="B111" s="8" t="s">
        <v>250</v>
      </c>
      <c r="C111" s="109">
        <v>873.43886</v>
      </c>
      <c r="D111" s="23">
        <v>4122781.07</v>
      </c>
      <c r="E111" s="23">
        <v>4720</v>
      </c>
      <c r="F111" s="23">
        <v>4986703.94</v>
      </c>
      <c r="G111" s="23">
        <v>5709</v>
      </c>
      <c r="H111" s="23">
        <v>585508.15</v>
      </c>
      <c r="I111" s="23">
        <v>670</v>
      </c>
      <c r="J111" s="23">
        <v>862656.71</v>
      </c>
      <c r="K111" s="23">
        <v>988</v>
      </c>
      <c r="L111" s="23">
        <v>10557649.870000001</v>
      </c>
      <c r="M111" s="23">
        <v>12087</v>
      </c>
      <c r="N111" s="156"/>
      <c r="O111" s="157"/>
    </row>
    <row r="112" spans="1:15" ht="12.75">
      <c r="A112" s="22">
        <v>108</v>
      </c>
      <c r="B112" s="8" t="s">
        <v>251</v>
      </c>
      <c r="C112" s="109">
        <v>6480.89998</v>
      </c>
      <c r="D112" s="23">
        <v>19060167.179999985</v>
      </c>
      <c r="E112" s="23">
        <v>2941</v>
      </c>
      <c r="F112" s="23">
        <v>32528014.920000013</v>
      </c>
      <c r="G112" s="23">
        <v>5019</v>
      </c>
      <c r="H112" s="23">
        <v>6758126.75</v>
      </c>
      <c r="I112" s="23">
        <v>1043</v>
      </c>
      <c r="J112" s="23">
        <v>7204734.119999999</v>
      </c>
      <c r="K112" s="23">
        <v>1112</v>
      </c>
      <c r="L112" s="23">
        <v>65551042.97</v>
      </c>
      <c r="M112" s="23">
        <v>10114</v>
      </c>
      <c r="N112" s="156"/>
      <c r="O112" s="157"/>
    </row>
    <row r="113" spans="1:15" ht="12.75">
      <c r="A113" s="22">
        <v>109</v>
      </c>
      <c r="B113" s="8" t="s">
        <v>252</v>
      </c>
      <c r="C113" s="109">
        <v>1919.18337</v>
      </c>
      <c r="D113" s="23">
        <v>30741817.25</v>
      </c>
      <c r="E113" s="23">
        <v>16018</v>
      </c>
      <c r="F113" s="23">
        <v>2900173.85</v>
      </c>
      <c r="G113" s="23">
        <v>1511</v>
      </c>
      <c r="H113" s="23">
        <v>1784940.88</v>
      </c>
      <c r="I113" s="23">
        <v>930</v>
      </c>
      <c r="J113" s="23">
        <v>552447.83</v>
      </c>
      <c r="K113" s="23">
        <v>288</v>
      </c>
      <c r="L113" s="23">
        <v>35979379.81</v>
      </c>
      <c r="M113" s="23">
        <v>18747</v>
      </c>
      <c r="N113" s="156"/>
      <c r="O113" s="157"/>
    </row>
    <row r="114" spans="1:15" ht="12.75">
      <c r="A114" s="22">
        <v>110</v>
      </c>
      <c r="B114" s="8" t="s">
        <v>278</v>
      </c>
      <c r="C114" s="109">
        <v>2572.87402</v>
      </c>
      <c r="D114" s="23">
        <v>24416417.240000002</v>
      </c>
      <c r="E114" s="23">
        <v>9490</v>
      </c>
      <c r="F114" s="23">
        <v>4776153.63</v>
      </c>
      <c r="G114" s="23">
        <v>1856</v>
      </c>
      <c r="H114" s="23">
        <v>2405991.88</v>
      </c>
      <c r="I114" s="23">
        <v>935</v>
      </c>
      <c r="J114" s="23">
        <v>2163666.43</v>
      </c>
      <c r="K114" s="23">
        <v>841</v>
      </c>
      <c r="L114" s="23">
        <v>33762229.18</v>
      </c>
      <c r="M114" s="23">
        <v>13122</v>
      </c>
      <c r="N114" s="156"/>
      <c r="O114" s="157"/>
    </row>
    <row r="115" spans="1:15" ht="12.75">
      <c r="A115" s="22">
        <v>111</v>
      </c>
      <c r="B115" s="8" t="s">
        <v>253</v>
      </c>
      <c r="C115" s="109">
        <v>1317.5226499999999</v>
      </c>
      <c r="D115" s="23">
        <v>3334826.53</v>
      </c>
      <c r="E115" s="23">
        <v>2531</v>
      </c>
      <c r="F115" s="23">
        <v>6100115.86</v>
      </c>
      <c r="G115" s="23">
        <v>4630</v>
      </c>
      <c r="H115" s="23">
        <v>1004951.74</v>
      </c>
      <c r="I115" s="23">
        <v>763</v>
      </c>
      <c r="J115" s="23">
        <v>1291187.38</v>
      </c>
      <c r="K115" s="23">
        <v>980</v>
      </c>
      <c r="L115" s="23">
        <v>11731081.51</v>
      </c>
      <c r="M115" s="23">
        <v>8904</v>
      </c>
      <c r="N115" s="156"/>
      <c r="O115" s="157"/>
    </row>
    <row r="116" spans="1:15" ht="12.75">
      <c r="A116" s="22">
        <v>112</v>
      </c>
      <c r="B116" s="8" t="s">
        <v>254</v>
      </c>
      <c r="C116" s="109">
        <v>21394.53154</v>
      </c>
      <c r="D116" s="23">
        <v>68466649.09999996</v>
      </c>
      <c r="E116" s="23">
        <v>3200</v>
      </c>
      <c r="F116" s="23">
        <v>110821727.20000002</v>
      </c>
      <c r="G116" s="23">
        <v>5180</v>
      </c>
      <c r="H116" s="23">
        <v>22824223.16</v>
      </c>
      <c r="I116" s="23">
        <v>1067</v>
      </c>
      <c r="J116" s="23">
        <v>20136930.580000006</v>
      </c>
      <c r="K116" s="23">
        <v>941</v>
      </c>
      <c r="L116" s="23">
        <v>222249530.04</v>
      </c>
      <c r="M116" s="23">
        <v>10388</v>
      </c>
      <c r="N116" s="156"/>
      <c r="O116" s="157"/>
    </row>
    <row r="117" spans="1:15" ht="12.75">
      <c r="A117" s="22">
        <v>113</v>
      </c>
      <c r="B117" s="8" t="s">
        <v>255</v>
      </c>
      <c r="C117" s="109">
        <v>4361.600049999999</v>
      </c>
      <c r="D117" s="23">
        <v>24829500.72</v>
      </c>
      <c r="E117" s="23">
        <v>5693</v>
      </c>
      <c r="F117" s="23">
        <v>18031685.200000003</v>
      </c>
      <c r="G117" s="23">
        <v>4134</v>
      </c>
      <c r="H117" s="23">
        <v>3625087.28</v>
      </c>
      <c r="I117" s="23">
        <v>831</v>
      </c>
      <c r="J117" s="23">
        <v>4388008.07</v>
      </c>
      <c r="K117" s="23">
        <v>1006</v>
      </c>
      <c r="L117" s="23">
        <v>50874281.27</v>
      </c>
      <c r="M117" s="23">
        <v>11664</v>
      </c>
      <c r="N117" s="156"/>
      <c r="O117" s="157"/>
    </row>
    <row r="118" spans="1:15" ht="12.75">
      <c r="A118" s="22">
        <v>114</v>
      </c>
      <c r="B118" s="8" t="s">
        <v>256</v>
      </c>
      <c r="C118" s="109">
        <v>3878.03334</v>
      </c>
      <c r="D118" s="23">
        <v>10880242.75</v>
      </c>
      <c r="E118" s="23">
        <v>2806</v>
      </c>
      <c r="F118" s="23">
        <v>21093773.389999997</v>
      </c>
      <c r="G118" s="23">
        <v>5439</v>
      </c>
      <c r="H118" s="23">
        <v>3322855.18</v>
      </c>
      <c r="I118" s="23">
        <v>857</v>
      </c>
      <c r="J118" s="23">
        <v>3962921.09</v>
      </c>
      <c r="K118" s="23">
        <v>1022</v>
      </c>
      <c r="L118" s="23">
        <v>39259792.41</v>
      </c>
      <c r="M118" s="23">
        <v>10124</v>
      </c>
      <c r="N118" s="156"/>
      <c r="O118" s="157"/>
    </row>
    <row r="119" spans="1:15" ht="12.75">
      <c r="A119" s="22">
        <v>115</v>
      </c>
      <c r="B119" s="8" t="s">
        <v>258</v>
      </c>
      <c r="C119" s="109">
        <v>8330.29358</v>
      </c>
      <c r="D119" s="23">
        <v>35382638.89</v>
      </c>
      <c r="E119" s="23">
        <v>4247</v>
      </c>
      <c r="F119" s="23">
        <v>37392341.92999999</v>
      </c>
      <c r="G119" s="23">
        <v>4489</v>
      </c>
      <c r="H119" s="23">
        <v>8883897.03</v>
      </c>
      <c r="I119" s="23">
        <v>1066</v>
      </c>
      <c r="J119" s="23">
        <v>9158524.559999999</v>
      </c>
      <c r="K119" s="23">
        <v>1099</v>
      </c>
      <c r="L119" s="23">
        <v>90817402.41</v>
      </c>
      <c r="M119" s="23">
        <v>10902</v>
      </c>
      <c r="N119" s="156"/>
      <c r="O119" s="157"/>
    </row>
    <row r="120" spans="1:15" ht="12.75">
      <c r="A120" s="22">
        <v>116</v>
      </c>
      <c r="B120" s="8" t="s">
        <v>261</v>
      </c>
      <c r="C120" s="109">
        <v>2416.22934</v>
      </c>
      <c r="D120" s="23">
        <v>7041420.6499999985</v>
      </c>
      <c r="E120" s="23">
        <v>2914</v>
      </c>
      <c r="F120" s="23">
        <v>12486425.27</v>
      </c>
      <c r="G120" s="23">
        <v>5168</v>
      </c>
      <c r="H120" s="23">
        <v>2595417.32</v>
      </c>
      <c r="I120" s="23">
        <v>1074</v>
      </c>
      <c r="J120" s="23">
        <v>2889050.08</v>
      </c>
      <c r="K120" s="23">
        <v>1196</v>
      </c>
      <c r="L120" s="23">
        <v>25012313.32</v>
      </c>
      <c r="M120" s="23">
        <v>10352</v>
      </c>
      <c r="N120" s="156"/>
      <c r="O120" s="157"/>
    </row>
    <row r="121" spans="1:15" ht="12.75">
      <c r="A121" s="22">
        <v>117</v>
      </c>
      <c r="B121" s="8" t="s">
        <v>262</v>
      </c>
      <c r="C121" s="109">
        <v>29604.23188</v>
      </c>
      <c r="D121" s="23">
        <v>92421751.01999998</v>
      </c>
      <c r="E121" s="23">
        <v>3122</v>
      </c>
      <c r="F121" s="23">
        <v>149613223.76000002</v>
      </c>
      <c r="G121" s="23">
        <v>5054</v>
      </c>
      <c r="H121" s="23">
        <v>32473533.14</v>
      </c>
      <c r="I121" s="23">
        <v>1097</v>
      </c>
      <c r="J121" s="23">
        <v>38258526.08</v>
      </c>
      <c r="K121" s="23">
        <v>1292</v>
      </c>
      <c r="L121" s="23">
        <v>312767034</v>
      </c>
      <c r="M121" s="23">
        <v>10565</v>
      </c>
      <c r="N121" s="156"/>
      <c r="O121" s="157"/>
    </row>
    <row r="122" spans="1:15" ht="12.75">
      <c r="A122" s="22">
        <v>118</v>
      </c>
      <c r="B122" s="8" t="s">
        <v>263</v>
      </c>
      <c r="C122" s="109">
        <v>32312.28746</v>
      </c>
      <c r="D122" s="23">
        <v>102415691.00999999</v>
      </c>
      <c r="E122" s="23">
        <v>3170</v>
      </c>
      <c r="F122" s="23">
        <v>165444136.52</v>
      </c>
      <c r="G122" s="23">
        <v>5120</v>
      </c>
      <c r="H122" s="23">
        <v>35032074.83</v>
      </c>
      <c r="I122" s="23">
        <v>1084</v>
      </c>
      <c r="J122" s="23">
        <v>44887456.19</v>
      </c>
      <c r="K122" s="23">
        <v>1389</v>
      </c>
      <c r="L122" s="23">
        <v>347779358.55</v>
      </c>
      <c r="M122" s="23">
        <v>10763</v>
      </c>
      <c r="N122" s="156"/>
      <c r="O122" s="157"/>
    </row>
    <row r="123" spans="1:15" ht="12.75">
      <c r="A123" s="22">
        <v>119</v>
      </c>
      <c r="B123" s="8" t="s">
        <v>264</v>
      </c>
      <c r="C123" s="109">
        <v>776.98887</v>
      </c>
      <c r="D123" s="23">
        <v>1757577.53</v>
      </c>
      <c r="E123" s="23">
        <v>2262</v>
      </c>
      <c r="F123" s="23">
        <v>3943750.05</v>
      </c>
      <c r="G123" s="23">
        <v>5076</v>
      </c>
      <c r="H123" s="23">
        <v>651171.72</v>
      </c>
      <c r="I123" s="23">
        <v>838</v>
      </c>
      <c r="J123" s="23">
        <v>792859.98</v>
      </c>
      <c r="K123" s="23">
        <v>1020</v>
      </c>
      <c r="L123" s="23">
        <v>7145359.28</v>
      </c>
      <c r="M123" s="23">
        <v>9196</v>
      </c>
      <c r="N123" s="156"/>
      <c r="O123" s="157"/>
    </row>
    <row r="124" spans="1:15" ht="12.75">
      <c r="A124" s="22">
        <v>120</v>
      </c>
      <c r="B124" s="8" t="s">
        <v>265</v>
      </c>
      <c r="C124" s="109">
        <v>4600.0156099999995</v>
      </c>
      <c r="D124" s="23">
        <v>9135570.649999999</v>
      </c>
      <c r="E124" s="23">
        <v>1986</v>
      </c>
      <c r="F124" s="23">
        <v>28456088.64</v>
      </c>
      <c r="G124" s="23">
        <v>6186</v>
      </c>
      <c r="H124" s="23">
        <v>4144470.04</v>
      </c>
      <c r="I124" s="23">
        <v>901</v>
      </c>
      <c r="J124" s="23">
        <v>6275297.200000002</v>
      </c>
      <c r="K124" s="23">
        <v>1364</v>
      </c>
      <c r="L124" s="23">
        <v>48011426.53</v>
      </c>
      <c r="M124" s="23">
        <v>10437</v>
      </c>
      <c r="N124" s="156"/>
      <c r="O124" s="157"/>
    </row>
    <row r="125" spans="1:15" ht="12.75">
      <c r="A125" s="22">
        <v>121</v>
      </c>
      <c r="B125" s="8" t="s">
        <v>267</v>
      </c>
      <c r="C125" s="109">
        <v>14334.53857</v>
      </c>
      <c r="D125" s="23">
        <v>38290883.46000001</v>
      </c>
      <c r="E125" s="23">
        <v>2671</v>
      </c>
      <c r="F125" s="23">
        <v>83517585.1</v>
      </c>
      <c r="G125" s="23">
        <v>5826</v>
      </c>
      <c r="H125" s="23">
        <v>12333639.22</v>
      </c>
      <c r="I125" s="23">
        <v>860</v>
      </c>
      <c r="J125" s="23">
        <v>16971677.03</v>
      </c>
      <c r="K125" s="23">
        <v>1184</v>
      </c>
      <c r="L125" s="23">
        <v>151113784.81</v>
      </c>
      <c r="M125" s="23">
        <v>10542</v>
      </c>
      <c r="N125" s="156"/>
      <c r="O125" s="157"/>
    </row>
    <row r="126" spans="1:15" ht="12.75">
      <c r="A126" s="22">
        <v>122</v>
      </c>
      <c r="B126" s="8" t="s">
        <v>268</v>
      </c>
      <c r="C126" s="109">
        <v>1519.11178</v>
      </c>
      <c r="D126" s="23">
        <v>5415882.9399999995</v>
      </c>
      <c r="E126" s="23">
        <v>3565</v>
      </c>
      <c r="F126" s="23">
        <v>7270800.15</v>
      </c>
      <c r="G126" s="23">
        <v>4786</v>
      </c>
      <c r="H126" s="23">
        <v>1183386.66</v>
      </c>
      <c r="I126" s="23">
        <v>779</v>
      </c>
      <c r="J126" s="23">
        <v>937892.97</v>
      </c>
      <c r="K126" s="23">
        <v>617</v>
      </c>
      <c r="L126" s="23">
        <v>14807962.72</v>
      </c>
      <c r="M126" s="23">
        <v>9748</v>
      </c>
      <c r="N126" s="156"/>
      <c r="O126" s="157"/>
    </row>
    <row r="127" spans="1:15" ht="12.75">
      <c r="A127" s="22">
        <v>123</v>
      </c>
      <c r="B127" s="8" t="s">
        <v>224</v>
      </c>
      <c r="C127" s="109">
        <v>22317.83544</v>
      </c>
      <c r="D127" s="23">
        <v>131756180.29999998</v>
      </c>
      <c r="E127" s="23">
        <v>5904</v>
      </c>
      <c r="F127" s="23">
        <v>97812747.96999998</v>
      </c>
      <c r="G127" s="23">
        <v>4383</v>
      </c>
      <c r="H127" s="23">
        <v>26801711.49</v>
      </c>
      <c r="I127" s="23">
        <v>1201</v>
      </c>
      <c r="J127" s="23">
        <v>35729030.580000006</v>
      </c>
      <c r="K127" s="23">
        <v>1601</v>
      </c>
      <c r="L127" s="23">
        <v>292099670.34</v>
      </c>
      <c r="M127" s="23">
        <v>13088</v>
      </c>
      <c r="N127" s="156"/>
      <c r="O127" s="157"/>
    </row>
    <row r="128" spans="1:15" ht="12.75">
      <c r="A128" s="22">
        <v>124</v>
      </c>
      <c r="B128" s="8" t="s">
        <v>225</v>
      </c>
      <c r="C128" s="109">
        <v>12285.72076</v>
      </c>
      <c r="D128" s="23">
        <v>47611434.589999974</v>
      </c>
      <c r="E128" s="23">
        <v>3875</v>
      </c>
      <c r="F128" s="23">
        <v>59021203.68</v>
      </c>
      <c r="G128" s="23">
        <v>4804</v>
      </c>
      <c r="H128" s="23">
        <v>12179922.56</v>
      </c>
      <c r="I128" s="23">
        <v>991</v>
      </c>
      <c r="J128" s="23">
        <v>19366391.130000003</v>
      </c>
      <c r="K128" s="23">
        <v>1576</v>
      </c>
      <c r="L128" s="23">
        <v>138178951.95999998</v>
      </c>
      <c r="M128" s="23">
        <v>11247</v>
      </c>
      <c r="N128" s="156"/>
      <c r="O128" s="157"/>
    </row>
    <row r="129" spans="1:15" ht="12.75">
      <c r="A129" s="22">
        <v>126</v>
      </c>
      <c r="B129" s="8" t="s">
        <v>270</v>
      </c>
      <c r="C129" s="109">
        <v>2641.51946</v>
      </c>
      <c r="D129" s="23">
        <v>11222882.61</v>
      </c>
      <c r="E129" s="23">
        <v>4249</v>
      </c>
      <c r="F129" s="23">
        <v>10748540.159999998</v>
      </c>
      <c r="G129" s="23">
        <v>4069</v>
      </c>
      <c r="H129" s="23">
        <v>3584920.1</v>
      </c>
      <c r="I129" s="23">
        <v>1357</v>
      </c>
      <c r="J129" s="23">
        <v>2186027.18</v>
      </c>
      <c r="K129" s="23">
        <v>828</v>
      </c>
      <c r="L129" s="23">
        <v>27742370.049999997</v>
      </c>
      <c r="M129" s="23">
        <v>10502</v>
      </c>
      <c r="N129" s="156"/>
      <c r="O129" s="157"/>
    </row>
    <row r="130" spans="1:15" ht="12.75">
      <c r="A130" s="22">
        <v>127</v>
      </c>
      <c r="B130" s="8" t="s">
        <v>271</v>
      </c>
      <c r="C130" s="109">
        <v>13557.743509999998</v>
      </c>
      <c r="D130" s="23">
        <v>46195166.58000001</v>
      </c>
      <c r="E130" s="23">
        <v>3407</v>
      </c>
      <c r="F130" s="23">
        <v>61690821.63999999</v>
      </c>
      <c r="G130" s="23">
        <v>4550</v>
      </c>
      <c r="H130" s="23">
        <v>14259346.12</v>
      </c>
      <c r="I130" s="23">
        <v>1052</v>
      </c>
      <c r="J130" s="23">
        <v>11128958.49</v>
      </c>
      <c r="K130" s="23">
        <v>821</v>
      </c>
      <c r="L130" s="23">
        <v>133274292.83</v>
      </c>
      <c r="M130" s="23">
        <v>9830</v>
      </c>
      <c r="N130" s="156"/>
      <c r="O130" s="157"/>
    </row>
    <row r="131" spans="1:15" ht="12.75">
      <c r="A131" s="22">
        <v>128</v>
      </c>
      <c r="B131" s="8" t="s">
        <v>279</v>
      </c>
      <c r="C131" s="109">
        <v>70690.41709999999</v>
      </c>
      <c r="D131" s="23">
        <v>342709499.8699999</v>
      </c>
      <c r="E131" s="23">
        <v>4848</v>
      </c>
      <c r="F131" s="23">
        <v>286230354.37000006</v>
      </c>
      <c r="G131" s="23">
        <v>4049</v>
      </c>
      <c r="H131" s="23">
        <v>72904962.5</v>
      </c>
      <c r="I131" s="23">
        <v>1031</v>
      </c>
      <c r="J131" s="23">
        <v>61357849.429999985</v>
      </c>
      <c r="K131" s="23">
        <v>868</v>
      </c>
      <c r="L131" s="23">
        <v>763202666.17</v>
      </c>
      <c r="M131" s="23">
        <v>10796</v>
      </c>
      <c r="N131" s="156"/>
      <c r="O131" s="157"/>
    </row>
    <row r="132" spans="1:15" ht="12.75">
      <c r="A132" s="22">
        <v>130</v>
      </c>
      <c r="B132" s="8" t="s">
        <v>272</v>
      </c>
      <c r="C132" s="109">
        <v>3002.42205</v>
      </c>
      <c r="D132" s="23">
        <v>11208985.830000002</v>
      </c>
      <c r="E132" s="23">
        <v>3733</v>
      </c>
      <c r="F132" s="23">
        <v>12949163.99</v>
      </c>
      <c r="G132" s="23">
        <v>4313</v>
      </c>
      <c r="H132" s="23">
        <v>3110675.64</v>
      </c>
      <c r="I132" s="23">
        <v>1036</v>
      </c>
      <c r="J132" s="23">
        <v>2743537.21</v>
      </c>
      <c r="K132" s="23">
        <v>914</v>
      </c>
      <c r="L132" s="23">
        <v>30012362.67</v>
      </c>
      <c r="M132" s="23">
        <v>9996</v>
      </c>
      <c r="N132" s="156"/>
      <c r="O132" s="157"/>
    </row>
    <row r="133" spans="1:15" ht="13.5">
      <c r="A133" s="22">
        <v>131</v>
      </c>
      <c r="B133" s="8" t="s">
        <v>638</v>
      </c>
      <c r="C133" s="109">
        <v>10111.52307</v>
      </c>
      <c r="D133" s="23">
        <v>69582568.22000001</v>
      </c>
      <c r="E133" s="23">
        <v>6882</v>
      </c>
      <c r="F133" s="23">
        <v>28791723.27</v>
      </c>
      <c r="G133" s="23">
        <v>2847</v>
      </c>
      <c r="H133" s="23">
        <v>9351386.299999999</v>
      </c>
      <c r="I133" s="23">
        <v>925</v>
      </c>
      <c r="J133" s="23">
        <v>4600776.29</v>
      </c>
      <c r="K133" s="23">
        <v>455</v>
      </c>
      <c r="L133" s="23">
        <v>112326454.08000001</v>
      </c>
      <c r="M133" s="23">
        <v>11109</v>
      </c>
      <c r="N133" s="156"/>
      <c r="O133" s="157"/>
    </row>
    <row r="134" spans="1:15" ht="12.75">
      <c r="A134" s="22">
        <v>132</v>
      </c>
      <c r="B134" s="8" t="s">
        <v>273</v>
      </c>
      <c r="C134" s="109">
        <v>3669.8721299999997</v>
      </c>
      <c r="D134" s="23">
        <v>27287012.22</v>
      </c>
      <c r="E134" s="23">
        <v>7435</v>
      </c>
      <c r="F134" s="23">
        <v>11744235.080000002</v>
      </c>
      <c r="G134" s="23">
        <v>3200</v>
      </c>
      <c r="H134" s="23">
        <v>3431975.9</v>
      </c>
      <c r="I134" s="23">
        <v>935</v>
      </c>
      <c r="J134" s="23">
        <v>2995603.5</v>
      </c>
      <c r="K134" s="23">
        <v>816</v>
      </c>
      <c r="L134" s="23">
        <v>45458826.7</v>
      </c>
      <c r="M134" s="23">
        <v>12387</v>
      </c>
      <c r="N134" s="156"/>
      <c r="O134" s="157"/>
    </row>
    <row r="135" spans="1:15" ht="12.75">
      <c r="A135" s="22">
        <v>135</v>
      </c>
      <c r="B135" s="8" t="s">
        <v>183</v>
      </c>
      <c r="C135" s="109">
        <v>1268.1389199999999</v>
      </c>
      <c r="D135" s="23">
        <v>4977227.23</v>
      </c>
      <c r="E135" s="23">
        <v>3925</v>
      </c>
      <c r="F135" s="23">
        <v>7758988.95</v>
      </c>
      <c r="G135" s="23">
        <v>6118</v>
      </c>
      <c r="H135" s="23">
        <v>1164664.26</v>
      </c>
      <c r="I135" s="23">
        <v>918</v>
      </c>
      <c r="J135" s="23">
        <v>1707369.94</v>
      </c>
      <c r="K135" s="23">
        <v>1346</v>
      </c>
      <c r="L135" s="23">
        <v>15608250.38</v>
      </c>
      <c r="M135" s="23">
        <v>12308</v>
      </c>
      <c r="N135" s="156"/>
      <c r="O135" s="157"/>
    </row>
    <row r="136" spans="1:15" ht="12.75">
      <c r="A136" s="22">
        <v>136</v>
      </c>
      <c r="B136" s="8" t="s">
        <v>249</v>
      </c>
      <c r="C136" s="109">
        <v>39209.91745</v>
      </c>
      <c r="D136" s="23">
        <v>179311429.16000006</v>
      </c>
      <c r="E136" s="23">
        <v>4573</v>
      </c>
      <c r="F136" s="23">
        <v>174790548.95</v>
      </c>
      <c r="G136" s="23">
        <v>4458</v>
      </c>
      <c r="H136" s="23">
        <v>40632956.91</v>
      </c>
      <c r="I136" s="23">
        <v>1036</v>
      </c>
      <c r="J136" s="23">
        <v>24431275.07999999</v>
      </c>
      <c r="K136" s="23">
        <v>623</v>
      </c>
      <c r="L136" s="23">
        <v>419166210.1</v>
      </c>
      <c r="M136" s="23">
        <v>10690</v>
      </c>
      <c r="N136" s="156"/>
      <c r="O136" s="157"/>
    </row>
    <row r="137" spans="1:15" ht="12.75">
      <c r="A137" s="22">
        <v>137</v>
      </c>
      <c r="B137" s="8" t="s">
        <v>257</v>
      </c>
      <c r="C137" s="109">
        <v>611.2555600000001</v>
      </c>
      <c r="D137" s="23">
        <v>2313640.48</v>
      </c>
      <c r="E137" s="23">
        <v>3785</v>
      </c>
      <c r="F137" s="23">
        <v>2775180.83</v>
      </c>
      <c r="G137" s="23">
        <v>4540</v>
      </c>
      <c r="H137" s="23">
        <v>513412.52</v>
      </c>
      <c r="I137" s="23">
        <v>840</v>
      </c>
      <c r="J137" s="23">
        <v>250738.47</v>
      </c>
      <c r="K137" s="23">
        <v>410</v>
      </c>
      <c r="L137" s="23">
        <v>5852972.3</v>
      </c>
      <c r="M137" s="23">
        <v>9575</v>
      </c>
      <c r="N137" s="156"/>
      <c r="O137" s="157"/>
    </row>
    <row r="138" spans="1:15" ht="12.75">
      <c r="A138" s="22">
        <v>139</v>
      </c>
      <c r="B138" s="8" t="s">
        <v>269</v>
      </c>
      <c r="C138" s="109">
        <v>3936.39428</v>
      </c>
      <c r="D138" s="23">
        <v>18914463.199999996</v>
      </c>
      <c r="E138" s="23">
        <v>4805</v>
      </c>
      <c r="F138" s="23">
        <v>15321090.23</v>
      </c>
      <c r="G138" s="23">
        <v>3892</v>
      </c>
      <c r="H138" s="23">
        <v>3266325.6</v>
      </c>
      <c r="I138" s="23">
        <v>830</v>
      </c>
      <c r="J138" s="23">
        <v>1623006.62</v>
      </c>
      <c r="K138" s="23">
        <v>412</v>
      </c>
      <c r="L138" s="23">
        <v>39124885.65</v>
      </c>
      <c r="M138" s="23">
        <v>9939</v>
      </c>
      <c r="N138" s="156"/>
      <c r="O138" s="157"/>
    </row>
    <row r="139" spans="1:15" ht="12.75">
      <c r="A139" s="22">
        <v>142</v>
      </c>
      <c r="B139" s="8" t="s">
        <v>266</v>
      </c>
      <c r="C139" s="109">
        <v>2458.7385400000003</v>
      </c>
      <c r="D139" s="23">
        <v>7905739.85</v>
      </c>
      <c r="E139" s="23">
        <v>3215</v>
      </c>
      <c r="F139" s="23">
        <v>10251624.129999999</v>
      </c>
      <c r="G139" s="23">
        <v>4169</v>
      </c>
      <c r="H139" s="23">
        <v>2185248.62</v>
      </c>
      <c r="I139" s="23">
        <v>889</v>
      </c>
      <c r="J139" s="23">
        <v>961217.38</v>
      </c>
      <c r="K139" s="23">
        <v>391</v>
      </c>
      <c r="L139" s="23">
        <v>21303829.98</v>
      </c>
      <c r="M139" s="23">
        <v>8665</v>
      </c>
      <c r="N139" s="156"/>
      <c r="O139" s="157"/>
    </row>
    <row r="140" spans="1:15" ht="12.75">
      <c r="A140" s="22">
        <v>143</v>
      </c>
      <c r="B140" s="8" t="s">
        <v>259</v>
      </c>
      <c r="C140" s="109">
        <v>6260.62249</v>
      </c>
      <c r="D140" s="23">
        <v>49413162.90000002</v>
      </c>
      <c r="E140" s="23">
        <v>7893</v>
      </c>
      <c r="F140" s="23">
        <v>20302722.139999997</v>
      </c>
      <c r="G140" s="23">
        <v>3243</v>
      </c>
      <c r="H140" s="23">
        <v>6712306.8</v>
      </c>
      <c r="I140" s="23">
        <v>1072</v>
      </c>
      <c r="J140" s="23">
        <v>3384201.88</v>
      </c>
      <c r="K140" s="23">
        <v>541</v>
      </c>
      <c r="L140" s="23">
        <v>79812393.72000001</v>
      </c>
      <c r="M140" s="23">
        <v>12748</v>
      </c>
      <c r="N140" s="156"/>
      <c r="O140" s="157"/>
    </row>
    <row r="141" spans="1:15" ht="12.75">
      <c r="A141" s="22">
        <v>144</v>
      </c>
      <c r="B141" s="8" t="s">
        <v>260</v>
      </c>
      <c r="C141" s="109">
        <v>2413.84085</v>
      </c>
      <c r="D141" s="23">
        <v>13921943.010000002</v>
      </c>
      <c r="E141" s="23">
        <v>5768</v>
      </c>
      <c r="F141" s="23">
        <v>11979856.9</v>
      </c>
      <c r="G141" s="23">
        <v>4963</v>
      </c>
      <c r="H141" s="23">
        <v>1959175.9</v>
      </c>
      <c r="I141" s="23">
        <v>812</v>
      </c>
      <c r="J141" s="23">
        <v>1384015.04</v>
      </c>
      <c r="K141" s="23">
        <v>573</v>
      </c>
      <c r="L141" s="23">
        <v>29244990.85</v>
      </c>
      <c r="M141" s="23">
        <v>12116</v>
      </c>
      <c r="N141" s="156"/>
      <c r="O141" s="157"/>
    </row>
    <row r="142" spans="1:15" ht="12.75">
      <c r="A142" s="22"/>
      <c r="B142" s="8" t="s">
        <v>274</v>
      </c>
      <c r="C142" s="109" t="s">
        <v>622</v>
      </c>
      <c r="E142" s="23"/>
      <c r="F142" s="23"/>
      <c r="G142" s="23"/>
      <c r="H142" s="23"/>
      <c r="I142" s="23"/>
      <c r="J142" s="23"/>
      <c r="K142" s="23"/>
      <c r="L142" s="23"/>
      <c r="M142" s="23"/>
      <c r="N142" s="156"/>
      <c r="O142" s="157"/>
    </row>
    <row r="143" spans="1:15" ht="12.75">
      <c r="A143" s="22">
        <v>202</v>
      </c>
      <c r="B143" s="8" t="s">
        <v>275</v>
      </c>
      <c r="C143" s="109">
        <v>592.3611099999999</v>
      </c>
      <c r="D143" s="23">
        <v>2118509.69</v>
      </c>
      <c r="E143" s="23">
        <v>3576</v>
      </c>
      <c r="F143" s="23">
        <v>3169938.82</v>
      </c>
      <c r="G143" s="23">
        <v>5351</v>
      </c>
      <c r="H143" s="23">
        <v>410879.27</v>
      </c>
      <c r="I143" s="23">
        <v>694</v>
      </c>
      <c r="J143" s="23">
        <v>898642.23</v>
      </c>
      <c r="K143" s="23">
        <v>1517</v>
      </c>
      <c r="L143" s="23">
        <v>6597970.01</v>
      </c>
      <c r="M143" s="23">
        <v>11138</v>
      </c>
      <c r="N143" s="156"/>
      <c r="O143" s="157"/>
    </row>
    <row r="144" spans="1:15" ht="12.75">
      <c r="A144" s="22">
        <v>207</v>
      </c>
      <c r="B144" s="8" t="s">
        <v>276</v>
      </c>
      <c r="C144" s="109">
        <v>805.27221</v>
      </c>
      <c r="D144" s="23">
        <v>3609816.04</v>
      </c>
      <c r="E144" s="23">
        <v>4483</v>
      </c>
      <c r="F144" s="23">
        <v>4319162.43</v>
      </c>
      <c r="G144" s="23">
        <v>5364</v>
      </c>
      <c r="H144" s="23">
        <v>576125.33</v>
      </c>
      <c r="I144" s="23">
        <v>715</v>
      </c>
      <c r="J144" s="23">
        <v>263960.23</v>
      </c>
      <c r="K144" s="23">
        <v>328</v>
      </c>
      <c r="L144" s="23">
        <v>8769064.03</v>
      </c>
      <c r="M144" s="23">
        <v>10890</v>
      </c>
      <c r="N144" s="156"/>
      <c r="O144" s="157"/>
    </row>
    <row r="145" spans="5:21" ht="7.5" customHeight="1">
      <c r="E145" s="23"/>
      <c r="F145" s="23"/>
      <c r="G145" s="23"/>
      <c r="H145" s="23"/>
      <c r="I145" s="23"/>
      <c r="J145" s="23"/>
      <c r="K145" s="23"/>
      <c r="L145" s="23"/>
      <c r="M145" s="23"/>
      <c r="T145" s="41"/>
      <c r="U145" s="41"/>
    </row>
    <row r="146" spans="1:19" ht="13.5">
      <c r="A146" s="201"/>
      <c r="B146" s="202" t="s">
        <v>615</v>
      </c>
      <c r="C146" s="203">
        <f>SUM(C11:C144)</f>
        <v>1196576.8603400001</v>
      </c>
      <c r="D146" s="204">
        <f>SUM(D11:D144)</f>
        <v>6591291977.359996</v>
      </c>
      <c r="E146" s="205">
        <f>ROUND(D146/$C$146,0)</f>
        <v>5508</v>
      </c>
      <c r="F146" s="206">
        <f>SUM(F11:F144)</f>
        <v>4607479400.009998</v>
      </c>
      <c r="G146" s="206">
        <f>ROUND(F146/$C$146,0)</f>
        <v>3851</v>
      </c>
      <c r="H146" s="206">
        <f>SUM(H11:H144)</f>
        <v>1150692367.9500003</v>
      </c>
      <c r="I146" s="206">
        <f>ROUND(H146/$C$146,0)</f>
        <v>962</v>
      </c>
      <c r="J146" s="207">
        <f>SUM(J11:J144)</f>
        <v>857330799.6300004</v>
      </c>
      <c r="K146" s="207">
        <f>ROUND(J146/$C$146,0)</f>
        <v>716</v>
      </c>
      <c r="L146" s="208">
        <f>SUM(L11:L144)</f>
        <v>13206794544.949997</v>
      </c>
      <c r="M146" s="208">
        <f>ROUND(L146/$C$146,0)</f>
        <v>11037</v>
      </c>
      <c r="O146" s="40"/>
      <c r="P146" s="40"/>
      <c r="Q146" s="40"/>
      <c r="R146" s="40"/>
      <c r="S146" s="40"/>
    </row>
    <row r="147" spans="1:26" s="7" customFormat="1" ht="12" customHeight="1">
      <c r="A147" s="209"/>
      <c r="B147" s="202"/>
      <c r="C147" s="210" t="s">
        <v>622</v>
      </c>
      <c r="D147" s="210"/>
      <c r="E147" s="208"/>
      <c r="F147" s="210"/>
      <c r="G147" s="208"/>
      <c r="H147" s="210"/>
      <c r="I147" s="208"/>
      <c r="J147" s="210"/>
      <c r="K147" s="208"/>
      <c r="L147" s="210"/>
      <c r="M147" s="208"/>
      <c r="N147" s="198"/>
      <c r="O147" s="41"/>
      <c r="P147" s="41"/>
      <c r="Q147" s="41"/>
      <c r="R147" s="41"/>
      <c r="S147" s="41"/>
      <c r="T147" s="41"/>
      <c r="U147" s="41"/>
      <c r="V147" s="198"/>
      <c r="W147" s="198"/>
      <c r="X147" s="198"/>
      <c r="Y147" s="198"/>
      <c r="Z147" s="198"/>
    </row>
    <row r="148" spans="1:31" ht="41.25" customHeight="1">
      <c r="A148" s="230" t="s">
        <v>441</v>
      </c>
      <c r="B148" s="231"/>
      <c r="C148" s="231"/>
      <c r="D148" s="231"/>
      <c r="E148" s="231"/>
      <c r="F148" s="231"/>
      <c r="G148" s="231"/>
      <c r="H148" s="231"/>
      <c r="I148" s="231"/>
      <c r="J148" s="231"/>
      <c r="K148" s="231"/>
      <c r="L148" s="231"/>
      <c r="M148" s="232"/>
      <c r="AA148" s="40"/>
      <c r="AB148" s="40"/>
      <c r="AC148" s="40"/>
      <c r="AD148" s="40"/>
      <c r="AE148" s="40"/>
    </row>
    <row r="149" spans="1:31" ht="33.75" customHeight="1">
      <c r="A149" s="236" t="s">
        <v>635</v>
      </c>
      <c r="B149" s="237"/>
      <c r="C149" s="237"/>
      <c r="D149" s="237"/>
      <c r="E149" s="237"/>
      <c r="F149" s="237"/>
      <c r="G149" s="237"/>
      <c r="H149" s="237"/>
      <c r="I149" s="237"/>
      <c r="J149" s="237"/>
      <c r="K149" s="237"/>
      <c r="L149" s="237"/>
      <c r="M149" s="238"/>
      <c r="AA149" s="40"/>
      <c r="AB149" s="40"/>
      <c r="AC149" s="40"/>
      <c r="AD149" s="40"/>
      <c r="AE149" s="40"/>
    </row>
    <row r="150" spans="1:31" ht="15" customHeight="1">
      <c r="A150" s="199" t="s">
        <v>639</v>
      </c>
      <c r="B150" s="44"/>
      <c r="C150" s="10"/>
      <c r="D150" s="10"/>
      <c r="E150" s="10"/>
      <c r="F150" s="10"/>
      <c r="G150" s="10"/>
      <c r="H150" s="10"/>
      <c r="I150" s="10"/>
      <c r="J150" s="10"/>
      <c r="K150" s="10"/>
      <c r="L150" s="10"/>
      <c r="M150" s="200"/>
      <c r="AA150" s="40"/>
      <c r="AB150" s="40"/>
      <c r="AC150" s="40"/>
      <c r="AD150" s="40"/>
      <c r="AE150" s="40"/>
    </row>
    <row r="151" spans="1:31" ht="15" customHeight="1">
      <c r="A151" s="199" t="s">
        <v>601</v>
      </c>
      <c r="B151" s="44"/>
      <c r="C151" s="10"/>
      <c r="D151" s="10"/>
      <c r="E151" s="10"/>
      <c r="F151" s="10"/>
      <c r="G151" s="10"/>
      <c r="H151" s="10"/>
      <c r="I151" s="10"/>
      <c r="J151" s="10"/>
      <c r="K151" s="10"/>
      <c r="L151" s="10"/>
      <c r="M151" s="200"/>
      <c r="AA151" s="40"/>
      <c r="AB151" s="40"/>
      <c r="AC151" s="40"/>
      <c r="AD151" s="40"/>
      <c r="AE151" s="40"/>
    </row>
    <row r="152" spans="1:31" ht="15" customHeight="1">
      <c r="A152" s="199" t="s">
        <v>603</v>
      </c>
      <c r="B152" s="44"/>
      <c r="C152" s="10"/>
      <c r="D152" s="10"/>
      <c r="E152" s="10"/>
      <c r="F152" s="10"/>
      <c r="G152" s="10"/>
      <c r="H152" s="10"/>
      <c r="I152" s="10"/>
      <c r="J152" s="10"/>
      <c r="K152" s="10"/>
      <c r="L152" s="10"/>
      <c r="M152" s="200"/>
      <c r="AA152" s="40"/>
      <c r="AB152" s="40"/>
      <c r="AC152" s="40"/>
      <c r="AD152" s="40"/>
      <c r="AE152" s="40"/>
    </row>
    <row r="153" spans="1:31" ht="30" customHeight="1">
      <c r="A153" s="233" t="s">
        <v>640</v>
      </c>
      <c r="B153" s="234"/>
      <c r="C153" s="234"/>
      <c r="D153" s="234"/>
      <c r="E153" s="234"/>
      <c r="F153" s="234"/>
      <c r="G153" s="234"/>
      <c r="H153" s="234"/>
      <c r="I153" s="234"/>
      <c r="J153" s="234"/>
      <c r="K153" s="234"/>
      <c r="L153" s="234"/>
      <c r="M153" s="235"/>
      <c r="AA153" s="40"/>
      <c r="AB153" s="40"/>
      <c r="AC153" s="40"/>
      <c r="AD153" s="40"/>
      <c r="AE153" s="40"/>
    </row>
    <row r="154" spans="1:21" ht="30.75" customHeight="1">
      <c r="A154" s="227" t="s">
        <v>621</v>
      </c>
      <c r="B154" s="228"/>
      <c r="C154" s="228"/>
      <c r="D154" s="228"/>
      <c r="E154" s="228"/>
      <c r="F154" s="228"/>
      <c r="G154" s="228"/>
      <c r="H154" s="228"/>
      <c r="I154" s="228"/>
      <c r="J154" s="228"/>
      <c r="K154" s="228"/>
      <c r="L154" s="228"/>
      <c r="M154" s="229"/>
      <c r="T154" s="41"/>
      <c r="U154" s="41"/>
    </row>
    <row r="155" spans="1:21" ht="12.75">
      <c r="A155" s="43"/>
      <c r="B155" s="40"/>
      <c r="C155" s="42"/>
      <c r="D155" s="42"/>
      <c r="E155" s="42"/>
      <c r="F155" s="42"/>
      <c r="G155" s="42"/>
      <c r="H155" s="42"/>
      <c r="I155" s="42"/>
      <c r="J155" s="42"/>
      <c r="K155" s="42"/>
      <c r="L155" s="42"/>
      <c r="M155" s="42"/>
      <c r="T155" s="41"/>
      <c r="U155" s="41"/>
    </row>
    <row r="156" spans="1:21" ht="12.75">
      <c r="A156" s="43"/>
      <c r="B156" s="40"/>
      <c r="C156" s="42"/>
      <c r="D156" s="42"/>
      <c r="E156" s="42"/>
      <c r="F156" s="42"/>
      <c r="G156" s="42"/>
      <c r="H156" s="42"/>
      <c r="I156" s="42"/>
      <c r="J156" s="42"/>
      <c r="K156" s="42"/>
      <c r="L156" s="42"/>
      <c r="M156" s="42"/>
      <c r="T156" s="41"/>
      <c r="U156" s="41"/>
    </row>
    <row r="157" spans="1:21" ht="12.75">
      <c r="A157" s="43"/>
      <c r="B157" s="40"/>
      <c r="C157" s="42"/>
      <c r="D157" s="42"/>
      <c r="E157" s="42"/>
      <c r="F157" s="42"/>
      <c r="G157" s="42"/>
      <c r="H157" s="42"/>
      <c r="I157" s="42"/>
      <c r="J157" s="42"/>
      <c r="K157" s="42"/>
      <c r="L157" s="42"/>
      <c r="M157" s="42"/>
      <c r="T157" s="41"/>
      <c r="U157" s="41"/>
    </row>
    <row r="158" spans="1:21" ht="12.75">
      <c r="A158" s="43"/>
      <c r="B158" s="40"/>
      <c r="C158" s="42"/>
      <c r="D158" s="42"/>
      <c r="E158" s="42"/>
      <c r="F158" s="42"/>
      <c r="G158" s="42"/>
      <c r="H158" s="42"/>
      <c r="I158" s="42"/>
      <c r="J158" s="42"/>
      <c r="K158" s="42"/>
      <c r="L158" s="42"/>
      <c r="M158" s="42"/>
      <c r="T158" s="41"/>
      <c r="U158" s="41"/>
    </row>
    <row r="159" spans="1:21" ht="12.75">
      <c r="A159" s="43"/>
      <c r="B159" s="40"/>
      <c r="C159" s="42"/>
      <c r="D159" s="42"/>
      <c r="E159" s="42"/>
      <c r="F159" s="42"/>
      <c r="G159" s="42"/>
      <c r="H159" s="42"/>
      <c r="I159" s="42"/>
      <c r="J159" s="42"/>
      <c r="K159" s="42"/>
      <c r="L159" s="42"/>
      <c r="M159" s="42"/>
      <c r="T159" s="41"/>
      <c r="U159" s="41"/>
    </row>
    <row r="160" spans="1:21" ht="12.75">
      <c r="A160" s="43"/>
      <c r="B160" s="40"/>
      <c r="C160" s="42"/>
      <c r="D160" s="42"/>
      <c r="E160" s="42"/>
      <c r="F160" s="42"/>
      <c r="G160" s="42"/>
      <c r="H160" s="42"/>
      <c r="I160" s="42"/>
      <c r="J160" s="42"/>
      <c r="K160" s="42"/>
      <c r="L160" s="42"/>
      <c r="M160" s="42"/>
      <c r="T160" s="41"/>
      <c r="U160" s="41"/>
    </row>
    <row r="161" spans="1:21" ht="12.75">
      <c r="A161" s="43"/>
      <c r="B161" s="40"/>
      <c r="C161" s="42"/>
      <c r="D161" s="42"/>
      <c r="E161" s="42"/>
      <c r="F161" s="42"/>
      <c r="G161" s="42"/>
      <c r="H161" s="42"/>
      <c r="I161" s="42"/>
      <c r="J161" s="42"/>
      <c r="K161" s="42"/>
      <c r="L161" s="42"/>
      <c r="M161" s="42"/>
      <c r="T161" s="41"/>
      <c r="U161" s="41"/>
    </row>
    <row r="162" spans="1:21" ht="12.75">
      <c r="A162" s="43"/>
      <c r="B162" s="40"/>
      <c r="C162" s="42"/>
      <c r="D162" s="42"/>
      <c r="E162" s="42"/>
      <c r="F162" s="42"/>
      <c r="G162" s="42"/>
      <c r="H162" s="42"/>
      <c r="I162" s="42"/>
      <c r="J162" s="42"/>
      <c r="K162" s="42"/>
      <c r="L162" s="42"/>
      <c r="M162" s="42"/>
      <c r="T162" s="41"/>
      <c r="U162" s="41"/>
    </row>
    <row r="163" spans="1:21" ht="12.75">
      <c r="A163" s="43"/>
      <c r="B163" s="40"/>
      <c r="C163" s="42"/>
      <c r="D163" s="42"/>
      <c r="E163" s="42"/>
      <c r="F163" s="42"/>
      <c r="G163" s="42"/>
      <c r="H163" s="42"/>
      <c r="I163" s="42"/>
      <c r="J163" s="42"/>
      <c r="K163" s="42"/>
      <c r="L163" s="42"/>
      <c r="M163" s="42"/>
      <c r="T163" s="41"/>
      <c r="U163" s="41"/>
    </row>
    <row r="164" spans="1:21" ht="12.75">
      <c r="A164" s="43"/>
      <c r="B164" s="40"/>
      <c r="C164" s="42"/>
      <c r="D164" s="42"/>
      <c r="E164" s="42"/>
      <c r="F164" s="42"/>
      <c r="G164" s="42"/>
      <c r="H164" s="42"/>
      <c r="I164" s="42"/>
      <c r="J164" s="42"/>
      <c r="K164" s="42"/>
      <c r="L164" s="42"/>
      <c r="M164" s="42"/>
      <c r="T164" s="41"/>
      <c r="U164" s="41"/>
    </row>
    <row r="165" spans="1:21" ht="12.75">
      <c r="A165" s="43"/>
      <c r="B165" s="40"/>
      <c r="C165" s="42"/>
      <c r="D165" s="42"/>
      <c r="E165" s="42"/>
      <c r="F165" s="42"/>
      <c r="G165" s="42"/>
      <c r="H165" s="42"/>
      <c r="I165" s="42"/>
      <c r="J165" s="42"/>
      <c r="K165" s="42"/>
      <c r="L165" s="42"/>
      <c r="M165" s="42"/>
      <c r="T165" s="41"/>
      <c r="U165" s="41"/>
    </row>
    <row r="166" spans="1:21" ht="12.75">
      <c r="A166" s="43"/>
      <c r="B166" s="40"/>
      <c r="C166" s="42"/>
      <c r="D166" s="42"/>
      <c r="E166" s="42"/>
      <c r="F166" s="42"/>
      <c r="G166" s="42"/>
      <c r="H166" s="42"/>
      <c r="I166" s="42"/>
      <c r="J166" s="42"/>
      <c r="K166" s="42"/>
      <c r="L166" s="42"/>
      <c r="M166" s="42"/>
      <c r="T166" s="41"/>
      <c r="U166" s="41"/>
    </row>
    <row r="167" spans="1:21" ht="12.75">
      <c r="A167" s="43"/>
      <c r="B167" s="40"/>
      <c r="C167" s="42"/>
      <c r="D167" s="42"/>
      <c r="E167" s="42"/>
      <c r="F167" s="42"/>
      <c r="G167" s="42"/>
      <c r="H167" s="42"/>
      <c r="I167" s="42"/>
      <c r="J167" s="42"/>
      <c r="K167" s="42"/>
      <c r="L167" s="42"/>
      <c r="M167" s="42"/>
      <c r="T167" s="41"/>
      <c r="U167" s="41"/>
    </row>
    <row r="168" spans="1:21" ht="12.75">
      <c r="A168" s="43"/>
      <c r="B168" s="40"/>
      <c r="C168" s="42"/>
      <c r="D168" s="42"/>
      <c r="E168" s="42"/>
      <c r="F168" s="42"/>
      <c r="G168" s="42"/>
      <c r="H168" s="42"/>
      <c r="I168" s="42"/>
      <c r="J168" s="42"/>
      <c r="K168" s="42"/>
      <c r="L168" s="42"/>
      <c r="M168" s="42"/>
      <c r="T168" s="41"/>
      <c r="U168" s="41"/>
    </row>
    <row r="169" spans="1:21" ht="12.75">
      <c r="A169" s="43"/>
      <c r="B169" s="40"/>
      <c r="C169" s="42"/>
      <c r="D169" s="42"/>
      <c r="E169" s="42"/>
      <c r="F169" s="42"/>
      <c r="G169" s="42"/>
      <c r="H169" s="42"/>
      <c r="I169" s="42"/>
      <c r="J169" s="42"/>
      <c r="K169" s="42"/>
      <c r="L169" s="42"/>
      <c r="M169" s="42"/>
      <c r="T169" s="41"/>
      <c r="U169" s="41"/>
    </row>
    <row r="170" spans="1:21" ht="12.75">
      <c r="A170" s="43"/>
      <c r="B170" s="40"/>
      <c r="C170" s="42"/>
      <c r="D170" s="42"/>
      <c r="E170" s="42"/>
      <c r="F170" s="42"/>
      <c r="G170" s="42"/>
      <c r="H170" s="42"/>
      <c r="I170" s="42"/>
      <c r="J170" s="42"/>
      <c r="K170" s="42"/>
      <c r="L170" s="42"/>
      <c r="M170" s="42"/>
      <c r="T170" s="41"/>
      <c r="U170" s="41"/>
    </row>
    <row r="171" spans="1:21" ht="12.75">
      <c r="A171" s="43"/>
      <c r="B171" s="40"/>
      <c r="C171" s="42"/>
      <c r="D171" s="42"/>
      <c r="E171" s="42"/>
      <c r="F171" s="42"/>
      <c r="G171" s="42"/>
      <c r="H171" s="42"/>
      <c r="I171" s="42"/>
      <c r="J171" s="42"/>
      <c r="K171" s="42"/>
      <c r="L171" s="42"/>
      <c r="M171" s="42"/>
      <c r="T171" s="41"/>
      <c r="U171" s="41"/>
    </row>
    <row r="172" spans="1:21" ht="12.75">
      <c r="A172" s="43"/>
      <c r="B172" s="40"/>
      <c r="C172" s="42"/>
      <c r="D172" s="42"/>
      <c r="E172" s="42"/>
      <c r="F172" s="42"/>
      <c r="G172" s="42"/>
      <c r="H172" s="42"/>
      <c r="I172" s="42"/>
      <c r="J172" s="42"/>
      <c r="K172" s="42"/>
      <c r="L172" s="42"/>
      <c r="M172" s="42"/>
      <c r="T172" s="41"/>
      <c r="U172" s="41"/>
    </row>
    <row r="173" spans="1:21" ht="12.75">
      <c r="A173" s="43"/>
      <c r="B173" s="40"/>
      <c r="C173" s="42"/>
      <c r="D173" s="42"/>
      <c r="E173" s="42"/>
      <c r="F173" s="42"/>
      <c r="G173" s="42"/>
      <c r="H173" s="42"/>
      <c r="I173" s="42"/>
      <c r="J173" s="42"/>
      <c r="K173" s="42"/>
      <c r="L173" s="42"/>
      <c r="M173" s="42"/>
      <c r="T173" s="41"/>
      <c r="U173" s="41"/>
    </row>
    <row r="174" spans="1:13" ht="12.75">
      <c r="A174" s="43"/>
      <c r="B174" s="40"/>
      <c r="C174" s="42"/>
      <c r="D174" s="42"/>
      <c r="E174" s="42"/>
      <c r="F174" s="42"/>
      <c r="G174" s="42"/>
      <c r="H174" s="42"/>
      <c r="I174" s="42"/>
      <c r="J174" s="42"/>
      <c r="K174" s="42"/>
      <c r="L174" s="42"/>
      <c r="M174" s="42"/>
    </row>
    <row r="175" spans="1:13" ht="12.75">
      <c r="A175" s="43"/>
      <c r="B175" s="40"/>
      <c r="C175" s="42"/>
      <c r="D175" s="42"/>
      <c r="E175" s="42"/>
      <c r="F175" s="42"/>
      <c r="G175" s="42"/>
      <c r="H175" s="42"/>
      <c r="I175" s="42"/>
      <c r="J175" s="42"/>
      <c r="K175" s="42"/>
      <c r="L175" s="42"/>
      <c r="M175" s="42"/>
    </row>
    <row r="176" spans="1:13" ht="12.75">
      <c r="A176" s="43"/>
      <c r="B176" s="40"/>
      <c r="C176" s="42"/>
      <c r="D176" s="42"/>
      <c r="E176" s="42"/>
      <c r="F176" s="42"/>
      <c r="G176" s="42"/>
      <c r="H176" s="42"/>
      <c r="I176" s="42"/>
      <c r="J176" s="42"/>
      <c r="K176" s="42"/>
      <c r="L176" s="42"/>
      <c r="M176" s="42"/>
    </row>
    <row r="177" spans="1:13" ht="12.75">
      <c r="A177" s="43"/>
      <c r="B177" s="40"/>
      <c r="C177" s="42"/>
      <c r="D177" s="42"/>
      <c r="E177" s="42"/>
      <c r="F177" s="42"/>
      <c r="G177" s="42"/>
      <c r="H177" s="42"/>
      <c r="I177" s="42"/>
      <c r="J177" s="42"/>
      <c r="K177" s="42"/>
      <c r="L177" s="42"/>
      <c r="M177" s="42"/>
    </row>
    <row r="178" spans="1:13" ht="12.75">
      <c r="A178" s="43"/>
      <c r="B178" s="40"/>
      <c r="C178" s="42"/>
      <c r="D178" s="42"/>
      <c r="E178" s="42"/>
      <c r="F178" s="42"/>
      <c r="G178" s="42"/>
      <c r="H178" s="42"/>
      <c r="I178" s="42"/>
      <c r="J178" s="42"/>
      <c r="K178" s="42"/>
      <c r="L178" s="42"/>
      <c r="M178" s="42"/>
    </row>
    <row r="179" spans="1:13" ht="12.75">
      <c r="A179" s="43"/>
      <c r="B179" s="40"/>
      <c r="C179" s="42"/>
      <c r="D179" s="42"/>
      <c r="E179" s="42"/>
      <c r="F179" s="42"/>
      <c r="G179" s="42"/>
      <c r="H179" s="42"/>
      <c r="I179" s="42"/>
      <c r="J179" s="42"/>
      <c r="K179" s="42"/>
      <c r="L179" s="42"/>
      <c r="M179" s="42"/>
    </row>
    <row r="180" spans="1:13" ht="12.75">
      <c r="A180" s="43"/>
      <c r="B180" s="40"/>
      <c r="C180" s="42"/>
      <c r="D180" s="42"/>
      <c r="E180" s="42"/>
      <c r="F180" s="42"/>
      <c r="G180" s="42"/>
      <c r="H180" s="42"/>
      <c r="I180" s="42"/>
      <c r="J180" s="42"/>
      <c r="K180" s="42"/>
      <c r="L180" s="42"/>
      <c r="M180" s="42"/>
    </row>
    <row r="181" spans="1:13" ht="12.75">
      <c r="A181" s="43"/>
      <c r="B181" s="40"/>
      <c r="C181" s="42"/>
      <c r="D181" s="42"/>
      <c r="E181" s="42"/>
      <c r="F181" s="42"/>
      <c r="G181" s="42"/>
      <c r="H181" s="42"/>
      <c r="I181" s="42"/>
      <c r="J181" s="42"/>
      <c r="K181" s="42"/>
      <c r="L181" s="42"/>
      <c r="M181" s="42"/>
    </row>
    <row r="182" spans="1:13" ht="12.75">
      <c r="A182" s="43"/>
      <c r="B182" s="40"/>
      <c r="C182" s="42"/>
      <c r="D182" s="42"/>
      <c r="E182" s="42"/>
      <c r="F182" s="42"/>
      <c r="G182" s="42"/>
      <c r="H182" s="42"/>
      <c r="I182" s="42"/>
      <c r="J182" s="42"/>
      <c r="K182" s="42"/>
      <c r="L182" s="42"/>
      <c r="M182" s="42"/>
    </row>
    <row r="183" spans="1:13" ht="12.75">
      <c r="A183" s="43"/>
      <c r="B183" s="40"/>
      <c r="C183" s="42"/>
      <c r="D183" s="42"/>
      <c r="E183" s="42"/>
      <c r="F183" s="42"/>
      <c r="G183" s="42"/>
      <c r="H183" s="42"/>
      <c r="I183" s="42"/>
      <c r="J183" s="42"/>
      <c r="K183" s="42"/>
      <c r="L183" s="42"/>
      <c r="M183" s="42"/>
    </row>
    <row r="184" spans="1:13" ht="12.75">
      <c r="A184" s="43"/>
      <c r="B184" s="40"/>
      <c r="C184" s="42"/>
      <c r="D184" s="42"/>
      <c r="E184" s="42"/>
      <c r="F184" s="42"/>
      <c r="G184" s="42"/>
      <c r="H184" s="42"/>
      <c r="I184" s="42"/>
      <c r="J184" s="42"/>
      <c r="K184" s="42"/>
      <c r="L184" s="42"/>
      <c r="M184" s="42"/>
    </row>
  </sheetData>
  <sheetProtection/>
  <mergeCells count="11">
    <mergeCell ref="L7:M7"/>
    <mergeCell ref="A154:M154"/>
    <mergeCell ref="A148:M148"/>
    <mergeCell ref="A153:M153"/>
    <mergeCell ref="A149:M149"/>
    <mergeCell ref="H6:I6"/>
    <mergeCell ref="J7:K7"/>
    <mergeCell ref="H5:I5"/>
    <mergeCell ref="D7:E7"/>
    <mergeCell ref="F7:G7"/>
    <mergeCell ref="H7:I7"/>
  </mergeCells>
  <conditionalFormatting sqref="D10:E144">
    <cfRule type="expression" priority="1" dxfId="0" stopIfTrue="1">
      <formula>$A10=$A$9</formula>
    </cfRule>
  </conditionalFormatting>
  <conditionalFormatting sqref="B10:C144 L10:L144">
    <cfRule type="expression" priority="2" dxfId="1" stopIfTrue="1">
      <formula>$A10=$A$9</formula>
    </cfRule>
  </conditionalFormatting>
  <conditionalFormatting sqref="F10:I144">
    <cfRule type="expression" priority="3" dxfId="2" stopIfTrue="1">
      <formula>$A10=$A$9</formula>
    </cfRule>
  </conditionalFormatting>
  <conditionalFormatting sqref="J10:K144">
    <cfRule type="expression" priority="4" dxfId="3" stopIfTrue="1">
      <formula>$A10=$A$9</formula>
    </cfRule>
  </conditionalFormatting>
  <conditionalFormatting sqref="M10:M144">
    <cfRule type="expression" priority="5" dxfId="4" stopIfTrue="1">
      <formula>$A10=$A$9</formula>
    </cfRule>
  </conditionalFormatting>
  <conditionalFormatting sqref="A10:A144">
    <cfRule type="expression" priority="6" dxfId="5" stopIfTrue="1">
      <formula>$A10=$A$9</formula>
    </cfRule>
  </conditionalFormatting>
  <printOptions horizontalCentered="1"/>
  <pageMargins left="0.25" right="0.25" top="0.25" bottom="0.35" header="0.24" footer="0.2"/>
  <pageSetup horizontalDpi="300" verticalDpi="300" orientation="landscape" scale="70" r:id="rId1"/>
  <headerFooter alignWithMargins="0">
    <oddHeader>&amp;RAttachment A to Supts. Memo No. 069-09
March 20, 2009</oddHeader>
    <oddFooter>&amp;C&amp;P</oddFooter>
  </headerFooter>
  <rowBreaks count="2" manualBreakCount="2">
    <brk id="58" max="12" man="1"/>
    <brk id="104" max="12" man="1"/>
  </rowBreaks>
  <ignoredErrors>
    <ignoredError sqref="E146 G146 I146 K146" formula="1"/>
  </ignoredErrors>
</worksheet>
</file>

<file path=xl/worksheets/sheet2.xml><?xml version="1.0" encoding="utf-8"?>
<worksheet xmlns="http://schemas.openxmlformats.org/spreadsheetml/2006/main" xmlns:r="http://schemas.openxmlformats.org/officeDocument/2006/relationships">
  <sheetPr codeName="Sheet4">
    <tabColor indexed="22"/>
  </sheetPr>
  <dimension ref="A1:AR171"/>
  <sheetViews>
    <sheetView zoomScale="70" zoomScaleNormal="70" workbookViewId="0" topLeftCell="A1">
      <pane ySplit="6" topLeftCell="BM7" activePane="bottomLeft" state="frozen"/>
      <selection pane="topLeft" activeCell="A1" sqref="A1"/>
      <selection pane="bottomLeft" activeCell="A1" sqref="A1:H1"/>
    </sheetView>
  </sheetViews>
  <sheetFormatPr defaultColWidth="9.140625" defaultRowHeight="12.75"/>
  <cols>
    <col min="1" max="1" width="11.00390625" style="2" customWidth="1"/>
    <col min="2" max="2" width="32.8515625" style="2" customWidth="1"/>
    <col min="3" max="3" width="11.28125" style="2" customWidth="1"/>
    <col min="4" max="5" width="20.7109375" style="2" customWidth="1"/>
    <col min="6" max="6" width="22.28125" style="2" customWidth="1"/>
    <col min="7" max="7" width="2.57421875" style="2" customWidth="1"/>
    <col min="8" max="8" width="26.28125" style="2" customWidth="1"/>
    <col min="9" max="9" width="18.00390625" style="134" bestFit="1" customWidth="1"/>
    <col min="10" max="10" width="11.421875" style="137" customWidth="1"/>
    <col min="11" max="25" width="9.140625" style="69" customWidth="1"/>
    <col min="26" max="26" width="9.140625" style="1" customWidth="1"/>
    <col min="27" max="27" width="11.140625" style="1" bestFit="1" customWidth="1"/>
    <col min="28" max="28" width="24.00390625" style="1" bestFit="1" customWidth="1"/>
    <col min="29" max="29" width="24.8515625" style="1" bestFit="1" customWidth="1"/>
    <col min="30" max="30" width="13.8515625" style="1" bestFit="1" customWidth="1"/>
    <col min="31" max="31" width="26.8515625" style="1" bestFit="1" customWidth="1"/>
    <col min="32" max="32" width="16.57421875" style="1" bestFit="1" customWidth="1"/>
    <col min="33" max="33" width="24.57421875" style="1" bestFit="1" customWidth="1"/>
    <col min="34" max="34" width="14.28125" style="1" bestFit="1" customWidth="1"/>
    <col min="35" max="35" width="24.00390625" style="1" bestFit="1" customWidth="1"/>
    <col min="36" max="36" width="13.7109375" style="1" bestFit="1" customWidth="1"/>
    <col min="37" max="37" width="22.421875" style="1" bestFit="1" customWidth="1"/>
    <col min="38" max="38" width="27.7109375" style="1" bestFit="1" customWidth="1"/>
    <col min="39" max="39" width="25.00390625" style="1" bestFit="1" customWidth="1"/>
    <col min="40" max="40" width="30.28125" style="1" bestFit="1" customWidth="1"/>
    <col min="41" max="41" width="22.57421875" style="1" customWidth="1"/>
    <col min="42" max="42" width="27.8515625" style="1" bestFit="1" customWidth="1"/>
    <col min="43" max="43" width="22.00390625" style="1" bestFit="1" customWidth="1"/>
    <col min="44" max="44" width="27.421875" style="1" bestFit="1" customWidth="1"/>
    <col min="45" max="16384" width="9.140625" style="1" customWidth="1"/>
  </cols>
  <sheetData>
    <row r="1" spans="1:44" ht="25.5" customHeight="1" thickBot="1">
      <c r="A1" s="241" t="s">
        <v>140</v>
      </c>
      <c r="B1" s="242"/>
      <c r="C1" s="242"/>
      <c r="D1" s="242"/>
      <c r="E1" s="242"/>
      <c r="F1" s="242"/>
      <c r="G1" s="242"/>
      <c r="H1" s="243"/>
      <c r="I1" s="132"/>
      <c r="J1" s="67"/>
      <c r="K1" s="45"/>
      <c r="L1" s="45"/>
      <c r="M1" s="45"/>
      <c r="N1" s="45"/>
      <c r="O1" s="45"/>
      <c r="P1" s="45"/>
      <c r="Q1" s="45"/>
      <c r="R1" s="45"/>
      <c r="S1" s="45"/>
      <c r="T1" s="45"/>
      <c r="U1" s="45"/>
      <c r="V1" s="45"/>
      <c r="W1" s="45"/>
      <c r="X1" s="45"/>
      <c r="Y1" s="45"/>
      <c r="Z1" s="45"/>
      <c r="AA1" s="99" t="s">
        <v>287</v>
      </c>
      <c r="AB1" s="100" t="s">
        <v>288</v>
      </c>
      <c r="AC1" s="101" t="s">
        <v>289</v>
      </c>
      <c r="AD1" s="101" t="s">
        <v>290</v>
      </c>
      <c r="AE1" s="101" t="s">
        <v>291</v>
      </c>
      <c r="AF1" s="101" t="s">
        <v>292</v>
      </c>
      <c r="AG1" s="101" t="s">
        <v>293</v>
      </c>
      <c r="AH1" s="101" t="s">
        <v>294</v>
      </c>
      <c r="AI1" s="101" t="s">
        <v>295</v>
      </c>
      <c r="AJ1" s="101" t="s">
        <v>296</v>
      </c>
      <c r="AK1" s="102" t="s">
        <v>459</v>
      </c>
      <c r="AL1" s="102" t="s">
        <v>460</v>
      </c>
      <c r="AM1" s="102" t="s">
        <v>461</v>
      </c>
      <c r="AN1" s="102" t="s">
        <v>462</v>
      </c>
      <c r="AO1" s="102" t="s">
        <v>463</v>
      </c>
      <c r="AP1" s="102" t="s">
        <v>464</v>
      </c>
      <c r="AQ1" s="102" t="s">
        <v>465</v>
      </c>
      <c r="AR1" s="102" t="s">
        <v>466</v>
      </c>
    </row>
    <row r="2" spans="1:44" ht="18.75" thickBot="1">
      <c r="A2" s="244" t="s">
        <v>645</v>
      </c>
      <c r="B2" s="245"/>
      <c r="C2" s="245"/>
      <c r="D2" s="245"/>
      <c r="E2" s="245"/>
      <c r="F2" s="245"/>
      <c r="G2" s="245"/>
      <c r="H2" s="246"/>
      <c r="I2" s="132"/>
      <c r="J2" s="67"/>
      <c r="K2" s="45"/>
      <c r="L2" s="45"/>
      <c r="M2" s="45"/>
      <c r="N2" s="45"/>
      <c r="O2" s="45"/>
      <c r="P2" s="45"/>
      <c r="Q2" s="45"/>
      <c r="R2" s="45"/>
      <c r="S2" s="45"/>
      <c r="T2" s="45"/>
      <c r="U2" s="45"/>
      <c r="V2" s="45"/>
      <c r="W2" s="45"/>
      <c r="X2" s="45"/>
      <c r="Y2" s="45"/>
      <c r="Z2" s="45"/>
      <c r="AA2" s="193">
        <v>1</v>
      </c>
      <c r="AB2" s="194" t="s">
        <v>282</v>
      </c>
      <c r="AC2" s="103">
        <v>26478431.990000002</v>
      </c>
      <c r="AD2" s="103">
        <v>5347</v>
      </c>
      <c r="AE2" s="103">
        <v>5995300.620000001</v>
      </c>
      <c r="AF2" s="103">
        <v>1210.7479</v>
      </c>
      <c r="AG2" s="103">
        <v>14617741.879999999</v>
      </c>
      <c r="AH2" s="103">
        <v>2952.0456</v>
      </c>
      <c r="AI2" s="103">
        <v>52085335.45</v>
      </c>
      <c r="AJ2" s="103">
        <v>10518.6071</v>
      </c>
      <c r="AK2" s="139">
        <f>VLOOKUP(AA2,'FY 2008 TABLE 15'!$A$11:$M$146,6,FALSE)-AC2</f>
        <v>0</v>
      </c>
      <c r="AL2" s="139">
        <f>VLOOKUP(AA2,'FY 2008 TABLE 15'!$A$11:$M$146,7,FALSE)-AD2</f>
        <v>0</v>
      </c>
      <c r="AM2" s="139">
        <f>VLOOKUP(AA2,'FY 2008 TABLE 15'!$A$11:$M$146,10,FALSE)-AE2</f>
        <v>0</v>
      </c>
      <c r="AN2" s="139">
        <f>VLOOKUP(AA2,'FY 2008 TABLE 15'!$A$11:$M$146,11,FALSE)-AF2</f>
        <v>0.2520999999999276</v>
      </c>
      <c r="AO2" s="139">
        <f>VLOOKUP(AA2,'FY 2008 TABLE 15'!$A$11:$M$146,4,FALSE)-AG2</f>
        <v>0</v>
      </c>
      <c r="AP2" s="139">
        <f>VLOOKUP(AA2,'FY 2008 TABLE 15'!$A$11:$M$146,5,FALSE)-AH2</f>
        <v>-0.04559999999992215</v>
      </c>
      <c r="AQ2" s="139">
        <f>VLOOKUP(AA2,'FY 2008 TABLE 15'!$A$11:$M$146,12,FALSE)-AI2</f>
        <v>0</v>
      </c>
      <c r="AR2" s="140">
        <f>VLOOKUP(AA2,'FY 2008 TABLE 15'!$A$11:$M$146,13,FALSE)-AJ2</f>
        <v>0.3929000000007363</v>
      </c>
    </row>
    <row r="3" spans="1:44" ht="15.75">
      <c r="A3" s="170"/>
      <c r="B3" s="48"/>
      <c r="C3" s="48"/>
      <c r="D3" s="48"/>
      <c r="E3" s="48"/>
      <c r="F3" s="48"/>
      <c r="G3" s="48"/>
      <c r="H3" s="171"/>
      <c r="I3" s="132"/>
      <c r="J3" s="67"/>
      <c r="K3" s="45"/>
      <c r="L3" s="45"/>
      <c r="M3" s="45"/>
      <c r="N3" s="45"/>
      <c r="O3" s="45"/>
      <c r="P3" s="45"/>
      <c r="Q3" s="45"/>
      <c r="R3" s="45"/>
      <c r="S3" s="45"/>
      <c r="T3" s="45"/>
      <c r="U3" s="45"/>
      <c r="V3" s="45"/>
      <c r="W3" s="45"/>
      <c r="X3" s="45"/>
      <c r="Y3" s="45"/>
      <c r="Z3" s="45"/>
      <c r="AA3" s="193">
        <v>2</v>
      </c>
      <c r="AB3" s="194" t="s">
        <v>155</v>
      </c>
      <c r="AC3" s="97">
        <v>32614994.03999999</v>
      </c>
      <c r="AD3" s="97">
        <v>2614</v>
      </c>
      <c r="AE3" s="97">
        <v>6602145.140000001</v>
      </c>
      <c r="AF3" s="97">
        <v>529.1251</v>
      </c>
      <c r="AG3" s="97">
        <v>105118859.51</v>
      </c>
      <c r="AH3" s="97">
        <v>8424.6903</v>
      </c>
      <c r="AI3" s="97">
        <v>156189399.75</v>
      </c>
      <c r="AJ3" s="97">
        <v>12517.7093</v>
      </c>
      <c r="AK3" s="141">
        <f>VLOOKUP(AA3,'FY 2008 TABLE 15'!$A$11:$M$146,6,FALSE)-AC3</f>
        <v>0</v>
      </c>
      <c r="AL3" s="141">
        <f>VLOOKUP(AA3,'FY 2008 TABLE 15'!$A$11:$M$146,7,FALSE)-AD3</f>
        <v>0</v>
      </c>
      <c r="AM3" s="141">
        <f>VLOOKUP(AA3,'FY 2008 TABLE 15'!$A$11:$M$146,10,FALSE)-AE3</f>
        <v>0</v>
      </c>
      <c r="AN3" s="141">
        <f>VLOOKUP(AA3,'FY 2008 TABLE 15'!$A$11:$M$146,11,FALSE)-AF3</f>
        <v>-0.1250999999999749</v>
      </c>
      <c r="AO3" s="141">
        <f>VLOOKUP(AA3,'FY 2008 TABLE 15'!$A$11:$M$146,4,FALSE)-AG3</f>
        <v>0</v>
      </c>
      <c r="AP3" s="141">
        <f>VLOOKUP(AA3,'FY 2008 TABLE 15'!$A$11:$M$146,5,FALSE)-AH3</f>
        <v>0.30969999999979336</v>
      </c>
      <c r="AQ3" s="141">
        <f>VLOOKUP(AA3,'FY 2008 TABLE 15'!$A$11:$M$146,12,FALSE)-AI3</f>
        <v>0</v>
      </c>
      <c r="AR3" s="142">
        <f>VLOOKUP(AA3,'FY 2008 TABLE 15'!$A$11:$M$146,13,FALSE)-AJ3</f>
        <v>0.29069999999956053</v>
      </c>
    </row>
    <row r="4" spans="1:44" ht="15.75">
      <c r="A4" s="172" t="s">
        <v>0</v>
      </c>
      <c r="B4" s="51" t="s">
        <v>1</v>
      </c>
      <c r="C4" s="48"/>
      <c r="D4" s="48"/>
      <c r="E4" s="48"/>
      <c r="F4" s="48"/>
      <c r="G4" s="48"/>
      <c r="H4" s="173"/>
      <c r="I4" s="132"/>
      <c r="J4" s="67"/>
      <c r="K4" s="45"/>
      <c r="L4" s="45"/>
      <c r="M4" s="45"/>
      <c r="N4" s="45"/>
      <c r="O4" s="45"/>
      <c r="P4" s="45"/>
      <c r="Q4" s="45"/>
      <c r="R4" s="45"/>
      <c r="S4" s="45"/>
      <c r="T4" s="45"/>
      <c r="U4" s="45"/>
      <c r="V4" s="45"/>
      <c r="W4" s="45"/>
      <c r="X4" s="45"/>
      <c r="Y4" s="45"/>
      <c r="Z4" s="45"/>
      <c r="AA4" s="193">
        <v>3</v>
      </c>
      <c r="AB4" s="194" t="s">
        <v>285</v>
      </c>
      <c r="AC4" s="97">
        <v>16441676.03</v>
      </c>
      <c r="AD4" s="97">
        <v>5706</v>
      </c>
      <c r="AE4" s="97">
        <v>2170010.96</v>
      </c>
      <c r="AF4" s="97">
        <v>753.0317</v>
      </c>
      <c r="AG4" s="97">
        <v>10776258.84</v>
      </c>
      <c r="AH4" s="97">
        <v>3739.5502</v>
      </c>
      <c r="AI4" s="97">
        <v>31786389.55</v>
      </c>
      <c r="AJ4" s="97">
        <v>11030.4329</v>
      </c>
      <c r="AK4" s="141">
        <f>VLOOKUP(AA4,'FY 2008 TABLE 15'!$A$11:$M$146,6,FALSE)-AC4</f>
        <v>0</v>
      </c>
      <c r="AL4" s="141">
        <f>VLOOKUP(AA4,'FY 2008 TABLE 15'!$A$11:$M$146,7,FALSE)-AD4</f>
        <v>0</v>
      </c>
      <c r="AM4" s="141">
        <f>VLOOKUP(AA4,'FY 2008 TABLE 15'!$A$11:$M$146,10,FALSE)-AE4</f>
        <v>0</v>
      </c>
      <c r="AN4" s="141">
        <f>VLOOKUP(AA4,'FY 2008 TABLE 15'!$A$11:$M$146,11,FALSE)-AF4</f>
        <v>-0.03170000000000073</v>
      </c>
      <c r="AO4" s="141">
        <f>VLOOKUP(AA4,'FY 2008 TABLE 15'!$A$11:$M$146,4,FALSE)-AG4</f>
        <v>0</v>
      </c>
      <c r="AP4" s="141">
        <f>VLOOKUP(AA4,'FY 2008 TABLE 15'!$A$11:$M$146,5,FALSE)-AH4</f>
        <v>0.4497999999998683</v>
      </c>
      <c r="AQ4" s="141">
        <f>VLOOKUP(AA4,'FY 2008 TABLE 15'!$A$11:$M$146,12,FALSE)-AI4</f>
        <v>0</v>
      </c>
      <c r="AR4" s="142">
        <f>VLOOKUP(AA4,'FY 2008 TABLE 15'!$A$11:$M$146,13,FALSE)-AJ4</f>
        <v>-0.43289999999979045</v>
      </c>
    </row>
    <row r="5" spans="1:44" ht="21.75" customHeight="1">
      <c r="A5" s="174"/>
      <c r="B5" s="91"/>
      <c r="C5" s="3"/>
      <c r="D5" s="48"/>
      <c r="E5" s="48"/>
      <c r="F5" s="48"/>
      <c r="G5" s="48"/>
      <c r="H5" s="173"/>
      <c r="I5" s="132"/>
      <c r="J5" s="67"/>
      <c r="K5" s="45"/>
      <c r="L5" s="45"/>
      <c r="M5" s="45"/>
      <c r="N5" s="45"/>
      <c r="O5" s="45"/>
      <c r="P5" s="45"/>
      <c r="Q5" s="45"/>
      <c r="R5" s="45"/>
      <c r="S5" s="45"/>
      <c r="T5" s="45"/>
      <c r="U5" s="45"/>
      <c r="V5" s="45"/>
      <c r="W5" s="45"/>
      <c r="X5" s="45"/>
      <c r="Y5" s="45"/>
      <c r="Z5" s="45"/>
      <c r="AA5" s="193">
        <v>4</v>
      </c>
      <c r="AB5" s="194" t="s">
        <v>156</v>
      </c>
      <c r="AC5" s="97">
        <v>8878160.199999997</v>
      </c>
      <c r="AD5" s="97">
        <v>4806</v>
      </c>
      <c r="AE5" s="97">
        <v>1261890.65</v>
      </c>
      <c r="AF5" s="97">
        <v>683.0996</v>
      </c>
      <c r="AG5" s="97">
        <v>4842999.79</v>
      </c>
      <c r="AH5" s="97">
        <v>2621.6623</v>
      </c>
      <c r="AI5" s="97">
        <v>16583558</v>
      </c>
      <c r="AJ5" s="97">
        <v>8977.1818</v>
      </c>
      <c r="AK5" s="141">
        <f>VLOOKUP(AA5,'FY 2008 TABLE 15'!$A$11:$M$146,6,FALSE)-AC5</f>
        <v>0</v>
      </c>
      <c r="AL5" s="141">
        <f>VLOOKUP(AA5,'FY 2008 TABLE 15'!$A$11:$M$146,7,FALSE)-AD5</f>
        <v>0</v>
      </c>
      <c r="AM5" s="141">
        <f>VLOOKUP(AA5,'FY 2008 TABLE 15'!$A$11:$M$146,10,FALSE)-AE5</f>
        <v>0</v>
      </c>
      <c r="AN5" s="141">
        <f>VLOOKUP(AA5,'FY 2008 TABLE 15'!$A$11:$M$146,11,FALSE)-AF5</f>
        <v>-0.09960000000000946</v>
      </c>
      <c r="AO5" s="141">
        <f>VLOOKUP(AA5,'FY 2008 TABLE 15'!$A$11:$M$146,4,FALSE)-AG5</f>
        <v>0</v>
      </c>
      <c r="AP5" s="141">
        <f>VLOOKUP(AA5,'FY 2008 TABLE 15'!$A$11:$M$146,5,FALSE)-AH5</f>
        <v>0.33770000000004075</v>
      </c>
      <c r="AQ5" s="141">
        <f>VLOOKUP(AA5,'FY 2008 TABLE 15'!$A$11:$M$146,12,FALSE)-AI5</f>
        <v>0</v>
      </c>
      <c r="AR5" s="142">
        <f>VLOOKUP(AA5,'FY 2008 TABLE 15'!$A$11:$M$146,13,FALSE)-AJ5</f>
        <v>-0.18180000000029395</v>
      </c>
    </row>
    <row r="6" spans="1:44" ht="10.5" customHeight="1">
      <c r="A6" s="175"/>
      <c r="B6" s="92"/>
      <c r="C6" s="3"/>
      <c r="D6" s="48"/>
      <c r="E6" s="48"/>
      <c r="F6" s="48"/>
      <c r="G6" s="48"/>
      <c r="H6" s="173"/>
      <c r="I6" s="132"/>
      <c r="J6" s="67"/>
      <c r="K6" s="45"/>
      <c r="L6" s="45"/>
      <c r="M6" s="45"/>
      <c r="N6" s="45"/>
      <c r="O6" s="45"/>
      <c r="P6" s="45"/>
      <c r="Q6" s="45"/>
      <c r="R6" s="45"/>
      <c r="S6" s="45"/>
      <c r="T6" s="45"/>
      <c r="U6" s="45"/>
      <c r="V6" s="45"/>
      <c r="W6" s="45"/>
      <c r="X6" s="45"/>
      <c r="Y6" s="45"/>
      <c r="Z6" s="45"/>
      <c r="AA6" s="193">
        <v>5</v>
      </c>
      <c r="AB6" s="194" t="s">
        <v>157</v>
      </c>
      <c r="AC6" s="97">
        <v>23483406.560000006</v>
      </c>
      <c r="AD6" s="97">
        <v>5075</v>
      </c>
      <c r="AE6" s="97">
        <v>3851439.43</v>
      </c>
      <c r="AF6" s="97">
        <v>832.3379</v>
      </c>
      <c r="AG6" s="97">
        <v>13774839.699999996</v>
      </c>
      <c r="AH6" s="97">
        <v>2976.8926</v>
      </c>
      <c r="AI6" s="97">
        <v>45377447.79</v>
      </c>
      <c r="AJ6" s="97">
        <v>9806.5597</v>
      </c>
      <c r="AK6" s="141">
        <f>VLOOKUP(AA6,'FY 2008 TABLE 15'!$A$11:$M$146,6,FALSE)-AC6</f>
        <v>0</v>
      </c>
      <c r="AL6" s="141">
        <f>VLOOKUP(AA6,'FY 2008 TABLE 15'!$A$11:$M$146,7,FALSE)-AD6</f>
        <v>0</v>
      </c>
      <c r="AM6" s="141">
        <f>VLOOKUP(AA6,'FY 2008 TABLE 15'!$A$11:$M$146,10,FALSE)-AE6</f>
        <v>0</v>
      </c>
      <c r="AN6" s="141">
        <f>VLOOKUP(AA6,'FY 2008 TABLE 15'!$A$11:$M$146,11,FALSE)-AF6</f>
        <v>-0.33789999999999054</v>
      </c>
      <c r="AO6" s="141">
        <f>VLOOKUP(AA6,'FY 2008 TABLE 15'!$A$11:$M$146,4,FALSE)-AG6</f>
        <v>-2209251.9099999964</v>
      </c>
      <c r="AP6" s="141">
        <f>VLOOKUP(AA6,'FY 2008 TABLE 15'!$A$11:$M$146,5,FALSE)-AH6</f>
        <v>-477.89260000000013</v>
      </c>
      <c r="AQ6" s="141">
        <f>VLOOKUP(AA6,'FY 2008 TABLE 15'!$A$11:$M$146,12,FALSE)-AI6</f>
        <v>-2209251.9099999964</v>
      </c>
      <c r="AR6" s="142">
        <f>VLOOKUP(AA6,'FY 2008 TABLE 15'!$A$11:$M$146,13,FALSE)-AJ6</f>
        <v>-477.5596999999998</v>
      </c>
    </row>
    <row r="7" spans="1:44" ht="10.5" customHeight="1">
      <c r="A7" s="170"/>
      <c r="B7" s="48"/>
      <c r="C7" s="48"/>
      <c r="D7" s="48"/>
      <c r="E7" s="48"/>
      <c r="F7" s="48"/>
      <c r="G7" s="48"/>
      <c r="H7" s="176"/>
      <c r="I7" s="132"/>
      <c r="J7" s="67"/>
      <c r="K7" s="45"/>
      <c r="L7" s="45"/>
      <c r="M7" s="45"/>
      <c r="N7" s="45"/>
      <c r="O7" s="45"/>
      <c r="P7" s="45"/>
      <c r="Q7" s="45"/>
      <c r="R7" s="45"/>
      <c r="S7" s="45"/>
      <c r="T7" s="45"/>
      <c r="U7" s="45"/>
      <c r="V7" s="45"/>
      <c r="W7" s="45"/>
      <c r="X7" s="45"/>
      <c r="Y7" s="45"/>
      <c r="Z7" s="45"/>
      <c r="AA7" s="193">
        <v>6</v>
      </c>
      <c r="AB7" s="194" t="s">
        <v>158</v>
      </c>
      <c r="AC7" s="97">
        <v>11718619.629999997</v>
      </c>
      <c r="AD7" s="97">
        <v>5323</v>
      </c>
      <c r="AE7" s="97">
        <v>1809396.17</v>
      </c>
      <c r="AF7" s="97">
        <v>821.8224</v>
      </c>
      <c r="AG7" s="97">
        <v>4496958.61</v>
      </c>
      <c r="AH7" s="97">
        <v>2042.5054</v>
      </c>
      <c r="AI7" s="97">
        <v>20037967.73</v>
      </c>
      <c r="AJ7" s="97">
        <v>9101.186</v>
      </c>
      <c r="AK7" s="141">
        <f>VLOOKUP(AA7,'FY 2008 TABLE 15'!$A$11:$M$146,6,FALSE)-AC7</f>
        <v>0</v>
      </c>
      <c r="AL7" s="141">
        <f>VLOOKUP(AA7,'FY 2008 TABLE 15'!$A$11:$M$146,7,FALSE)-AD7</f>
        <v>0</v>
      </c>
      <c r="AM7" s="141">
        <f>VLOOKUP(AA7,'FY 2008 TABLE 15'!$A$11:$M$146,10,FALSE)-AE7</f>
        <v>0</v>
      </c>
      <c r="AN7" s="141">
        <f>VLOOKUP(AA7,'FY 2008 TABLE 15'!$A$11:$M$146,11,FALSE)-AF7</f>
        <v>0.177599999999984</v>
      </c>
      <c r="AO7" s="141">
        <f>VLOOKUP(AA7,'FY 2008 TABLE 15'!$A$11:$M$146,4,FALSE)-AG7</f>
        <v>51892</v>
      </c>
      <c r="AP7" s="141">
        <f>VLOOKUP(AA7,'FY 2008 TABLE 15'!$A$11:$M$146,5,FALSE)-AH7</f>
        <v>23.49459999999999</v>
      </c>
      <c r="AQ7" s="141">
        <f>VLOOKUP(AA7,'FY 2008 TABLE 15'!$A$11:$M$146,12,FALSE)-AI7</f>
        <v>51892</v>
      </c>
      <c r="AR7" s="142">
        <f>VLOOKUP(AA7,'FY 2008 TABLE 15'!$A$11:$M$146,13,FALSE)-AJ7</f>
        <v>23.814000000000306</v>
      </c>
    </row>
    <row r="8" spans="1:44" ht="15" customHeight="1">
      <c r="A8" s="239" t="s">
        <v>606</v>
      </c>
      <c r="B8" s="240"/>
      <c r="C8" s="240"/>
      <c r="D8" s="168"/>
      <c r="E8" s="48"/>
      <c r="F8" s="88" t="e">
        <f>SUM(VLOOKUP($A$5,'Source Data'!A2:P137,16,FALSE)+VLOOKUP($A$5,'Source Data'!A2:P137,15,FALSE))</f>
        <v>#N/A</v>
      </c>
      <c r="G8" s="48"/>
      <c r="H8" s="176"/>
      <c r="I8" s="132"/>
      <c r="J8" s="67"/>
      <c r="K8" s="45"/>
      <c r="L8" s="45"/>
      <c r="M8" s="45"/>
      <c r="N8" s="45"/>
      <c r="O8" s="45"/>
      <c r="P8" s="45"/>
      <c r="Q8" s="45"/>
      <c r="R8" s="45"/>
      <c r="S8" s="45"/>
      <c r="T8" s="45"/>
      <c r="U8" s="45"/>
      <c r="V8" s="45"/>
      <c r="W8" s="45"/>
      <c r="X8" s="45"/>
      <c r="Y8" s="45"/>
      <c r="Z8" s="45"/>
      <c r="AA8" s="193">
        <v>7</v>
      </c>
      <c r="AB8" s="194" t="s">
        <v>159</v>
      </c>
      <c r="AC8" s="97">
        <v>29180121.309999995</v>
      </c>
      <c r="AD8" s="97">
        <v>1627</v>
      </c>
      <c r="AE8" s="97">
        <v>12537906.46</v>
      </c>
      <c r="AF8" s="97">
        <v>698.8799</v>
      </c>
      <c r="AG8" s="97">
        <v>305882378.67</v>
      </c>
      <c r="AH8" s="97">
        <v>17050.2984</v>
      </c>
      <c r="AI8" s="97">
        <v>364483750.36</v>
      </c>
      <c r="AJ8" s="97">
        <v>20316.8182</v>
      </c>
      <c r="AK8" s="141">
        <f>VLOOKUP(AA8,'FY 2008 TABLE 15'!$A$11:$M$146,6,FALSE)-AC8</f>
        <v>0</v>
      </c>
      <c r="AL8" s="141">
        <f>VLOOKUP(AA8,'FY 2008 TABLE 15'!$A$11:$M$146,7,FALSE)-AD8</f>
        <v>0</v>
      </c>
      <c r="AM8" s="141">
        <f>VLOOKUP(AA8,'FY 2008 TABLE 15'!$A$11:$M$146,10,FALSE)-AE8</f>
        <v>0</v>
      </c>
      <c r="AN8" s="141">
        <f>VLOOKUP(AA8,'FY 2008 TABLE 15'!$A$11:$M$146,11,FALSE)-AF8</f>
        <v>0.12009999999997945</v>
      </c>
      <c r="AO8" s="141">
        <f>VLOOKUP(AA8,'FY 2008 TABLE 15'!$A$11:$M$146,4,FALSE)-AG8</f>
        <v>0</v>
      </c>
      <c r="AP8" s="141">
        <f>VLOOKUP(AA8,'FY 2008 TABLE 15'!$A$11:$M$146,5,FALSE)-AH8</f>
        <v>-0.29839999999967404</v>
      </c>
      <c r="AQ8" s="141">
        <f>VLOOKUP(AA8,'FY 2008 TABLE 15'!$A$11:$M$146,12,FALSE)-AI8</f>
        <v>0</v>
      </c>
      <c r="AR8" s="142">
        <f>VLOOKUP(AA8,'FY 2008 TABLE 15'!$A$11:$M$146,13,FALSE)-AJ8</f>
        <v>0.18179999999847496</v>
      </c>
    </row>
    <row r="9" spans="1:44" s="154" customFormat="1" ht="16.5" customHeight="1">
      <c r="A9" s="247" t="s">
        <v>648</v>
      </c>
      <c r="B9" s="248"/>
      <c r="C9" s="248"/>
      <c r="D9" s="248"/>
      <c r="E9" s="147"/>
      <c r="F9" s="147"/>
      <c r="G9" s="147"/>
      <c r="H9" s="177"/>
      <c r="I9" s="148"/>
      <c r="J9" s="149"/>
      <c r="K9" s="150"/>
      <c r="L9" s="150"/>
      <c r="M9" s="150"/>
      <c r="N9" s="150"/>
      <c r="O9" s="150"/>
      <c r="P9" s="150"/>
      <c r="Q9" s="150"/>
      <c r="R9" s="150"/>
      <c r="S9" s="150"/>
      <c r="T9" s="150"/>
      <c r="U9" s="150"/>
      <c r="V9" s="150"/>
      <c r="W9" s="150"/>
      <c r="X9" s="150"/>
      <c r="Y9" s="150"/>
      <c r="Z9" s="150"/>
      <c r="AA9" s="193">
        <v>8</v>
      </c>
      <c r="AB9" s="194" t="s">
        <v>160</v>
      </c>
      <c r="AC9" s="151">
        <v>49843595.839999996</v>
      </c>
      <c r="AD9" s="151">
        <v>4619</v>
      </c>
      <c r="AE9" s="151">
        <v>6858458.19</v>
      </c>
      <c r="AF9" s="151">
        <v>635.6185</v>
      </c>
      <c r="AG9" s="151">
        <v>33199985.270000007</v>
      </c>
      <c r="AH9" s="151">
        <v>3076.8613</v>
      </c>
      <c r="AI9" s="151">
        <v>100744086.04</v>
      </c>
      <c r="AJ9" s="151">
        <v>9336.6178</v>
      </c>
      <c r="AK9" s="152">
        <f>VLOOKUP(AA9,'FY 2008 TABLE 15'!$A$11:$M$146,6,FALSE)-AC9</f>
        <v>0</v>
      </c>
      <c r="AL9" s="152">
        <f>VLOOKUP(AA9,'FY 2008 TABLE 15'!$A$11:$M$146,7,FALSE)-AD9</f>
        <v>0</v>
      </c>
      <c r="AM9" s="152">
        <f>VLOOKUP(AA9,'FY 2008 TABLE 15'!$A$11:$M$146,10,FALSE)-AE9</f>
        <v>0</v>
      </c>
      <c r="AN9" s="152">
        <f>VLOOKUP(AA9,'FY 2008 TABLE 15'!$A$11:$M$146,11,FALSE)-AF9</f>
        <v>0.38149999999996</v>
      </c>
      <c r="AO9" s="152">
        <f>VLOOKUP(AA9,'FY 2008 TABLE 15'!$A$11:$M$146,4,FALSE)-AG9</f>
        <v>0</v>
      </c>
      <c r="AP9" s="152">
        <f>VLOOKUP(AA9,'FY 2008 TABLE 15'!$A$11:$M$146,5,FALSE)-AH9</f>
        <v>0.13869999999997162</v>
      </c>
      <c r="AQ9" s="152">
        <f>VLOOKUP(AA9,'FY 2008 TABLE 15'!$A$11:$M$146,12,FALSE)-AI9</f>
        <v>0</v>
      </c>
      <c r="AR9" s="153">
        <f>VLOOKUP(AA9,'FY 2008 TABLE 15'!$A$11:$M$146,13,FALSE)-AJ9</f>
        <v>0.38220000000001164</v>
      </c>
    </row>
    <row r="10" spans="1:44" ht="15.75">
      <c r="A10" s="178" t="s">
        <v>609</v>
      </c>
      <c r="B10" s="163"/>
      <c r="C10" s="163"/>
      <c r="D10" s="163"/>
      <c r="E10" s="78"/>
      <c r="F10" s="81" t="e">
        <f>VLOOKUP($A$5,'Source Data'!A2:P137,15,FALSE)</f>
        <v>#N/A</v>
      </c>
      <c r="G10" s="48"/>
      <c r="H10" s="176"/>
      <c r="I10" s="132"/>
      <c r="J10" s="67"/>
      <c r="K10" s="45"/>
      <c r="L10" s="45"/>
      <c r="M10" s="45"/>
      <c r="N10" s="45"/>
      <c r="O10" s="45"/>
      <c r="P10" s="45"/>
      <c r="Q10" s="45"/>
      <c r="R10" s="45"/>
      <c r="S10" s="45"/>
      <c r="T10" s="45"/>
      <c r="U10" s="45"/>
      <c r="V10" s="45"/>
      <c r="W10" s="45"/>
      <c r="X10" s="45"/>
      <c r="Y10" s="45"/>
      <c r="Z10" s="45"/>
      <c r="AA10" s="193">
        <v>9</v>
      </c>
      <c r="AB10" s="194" t="s">
        <v>161</v>
      </c>
      <c r="AC10" s="97">
        <v>1309846.56</v>
      </c>
      <c r="AD10" s="97">
        <v>1831</v>
      </c>
      <c r="AE10" s="97">
        <v>666531.13</v>
      </c>
      <c r="AF10" s="97">
        <v>931.5824</v>
      </c>
      <c r="AG10" s="97">
        <v>7353371.62</v>
      </c>
      <c r="AH10" s="97">
        <v>10277.497</v>
      </c>
      <c r="AI10" s="97">
        <v>10055848.21</v>
      </c>
      <c r="AJ10" s="97">
        <v>14054.6344</v>
      </c>
      <c r="AK10" s="141">
        <f>VLOOKUP(AA10,'FY 2008 TABLE 15'!$A$11:$M$146,6,FALSE)-AC10</f>
        <v>0</v>
      </c>
      <c r="AL10" s="141">
        <f>VLOOKUP(AA10,'FY 2008 TABLE 15'!$A$11:$M$146,7,FALSE)-AD10</f>
        <v>0</v>
      </c>
      <c r="AM10" s="141">
        <f>VLOOKUP(AA10,'FY 2008 TABLE 15'!$A$11:$M$146,10,FALSE)-AE10</f>
        <v>0</v>
      </c>
      <c r="AN10" s="141">
        <f>VLOOKUP(AA10,'FY 2008 TABLE 15'!$A$11:$M$146,11,FALSE)-AF10</f>
        <v>0.4175999999999931</v>
      </c>
      <c r="AO10" s="141">
        <f>VLOOKUP(AA10,'FY 2008 TABLE 15'!$A$11:$M$146,4,FALSE)-AG10</f>
        <v>0</v>
      </c>
      <c r="AP10" s="141">
        <f>VLOOKUP(AA10,'FY 2008 TABLE 15'!$A$11:$M$146,5,FALSE)-AH10</f>
        <v>-0.4969999999993888</v>
      </c>
      <c r="AQ10" s="141">
        <f>VLOOKUP(AA10,'FY 2008 TABLE 15'!$A$11:$M$146,12,FALSE)-AI10</f>
        <v>0</v>
      </c>
      <c r="AR10" s="142">
        <f>VLOOKUP(AA10,'FY 2008 TABLE 15'!$A$11:$M$146,13,FALSE)-AJ10</f>
        <v>0.36559999999917636</v>
      </c>
    </row>
    <row r="11" spans="1:44" ht="6" customHeight="1" thickBot="1">
      <c r="A11" s="179"/>
      <c r="B11" s="80"/>
      <c r="C11" s="80"/>
      <c r="D11" s="80"/>
      <c r="E11" s="78"/>
      <c r="F11" s="83"/>
      <c r="G11" s="48"/>
      <c r="H11" s="176"/>
      <c r="I11" s="132"/>
      <c r="J11" s="67"/>
      <c r="K11" s="45"/>
      <c r="L11" s="45"/>
      <c r="M11" s="45"/>
      <c r="N11" s="45"/>
      <c r="O11" s="45"/>
      <c r="P11" s="45"/>
      <c r="Q11" s="45"/>
      <c r="R11" s="45"/>
      <c r="S11" s="45"/>
      <c r="T11" s="45"/>
      <c r="U11" s="45"/>
      <c r="V11" s="45"/>
      <c r="W11" s="45"/>
      <c r="X11" s="45"/>
      <c r="Y11" s="45"/>
      <c r="Z11" s="45"/>
      <c r="AA11" s="193">
        <v>10</v>
      </c>
      <c r="AB11" s="194" t="s">
        <v>624</v>
      </c>
      <c r="AC11" s="97">
        <v>44797024.21000001</v>
      </c>
      <c r="AD11" s="97">
        <v>4163</v>
      </c>
      <c r="AE11" s="97">
        <v>6508350.509999999</v>
      </c>
      <c r="AF11" s="97">
        <v>604.7735</v>
      </c>
      <c r="AG11" s="97">
        <v>33167442.029999994</v>
      </c>
      <c r="AH11" s="97">
        <v>3082.0082</v>
      </c>
      <c r="AI11" s="97">
        <v>94199582.23</v>
      </c>
      <c r="AJ11" s="97">
        <v>8753.2794</v>
      </c>
      <c r="AK11" s="141">
        <f>VLOOKUP(AA11,'FY 2008 TABLE 15'!$A$11:$M$146,6,FALSE)-AC11</f>
        <v>0</v>
      </c>
      <c r="AL11" s="141">
        <f>VLOOKUP(AA11,'FY 2008 TABLE 15'!$A$11:$M$146,7,FALSE)-AD11</f>
        <v>0</v>
      </c>
      <c r="AM11" s="141">
        <f>VLOOKUP(AA11,'FY 2008 TABLE 15'!$A$11:$M$146,10,FALSE)-AE11</f>
        <v>0</v>
      </c>
      <c r="AN11" s="141">
        <f>VLOOKUP(AA11,'FY 2008 TABLE 15'!$A$11:$M$146,11,FALSE)-AF11</f>
        <v>0.22649999999998727</v>
      </c>
      <c r="AO11" s="141">
        <f>VLOOKUP(AA11,'FY 2008 TABLE 15'!$A$11:$M$146,4,FALSE)-AG11</f>
        <v>0</v>
      </c>
      <c r="AP11" s="141">
        <f>VLOOKUP(AA11,'FY 2008 TABLE 15'!$A$11:$M$146,5,FALSE)-AH11</f>
        <v>-0.008200000000215368</v>
      </c>
      <c r="AQ11" s="141">
        <f>VLOOKUP(AA11,'FY 2008 TABLE 15'!$A$11:$M$146,12,FALSE)-AI11</f>
        <v>0</v>
      </c>
      <c r="AR11" s="142">
        <f>VLOOKUP(AA11,'FY 2008 TABLE 15'!$A$11:$M$146,13,FALSE)-AJ11</f>
        <v>-0.2793999999994412</v>
      </c>
    </row>
    <row r="12" spans="1:44" ht="16.5" thickBot="1">
      <c r="A12" s="180" t="s">
        <v>435</v>
      </c>
      <c r="B12" s="56"/>
      <c r="C12" s="80"/>
      <c r="D12" s="80"/>
      <c r="E12" s="78"/>
      <c r="F12" s="48"/>
      <c r="G12" s="48"/>
      <c r="H12" s="181" t="e">
        <f>SUM(F8-F10)</f>
        <v>#N/A</v>
      </c>
      <c r="I12" s="132" t="e">
        <f>VLOOKUP($A$5,'FY 2008 TABLE 15'!A11:M146,12,FALSE)</f>
        <v>#N/A</v>
      </c>
      <c r="J12" s="67" t="e">
        <f>IF(H12=I12,"OK","???")</f>
        <v>#N/A</v>
      </c>
      <c r="K12" s="45"/>
      <c r="L12" s="45"/>
      <c r="M12" s="45"/>
      <c r="N12" s="45"/>
      <c r="O12" s="45"/>
      <c r="P12" s="45"/>
      <c r="Q12" s="45"/>
      <c r="R12" s="45"/>
      <c r="S12" s="45"/>
      <c r="T12" s="45"/>
      <c r="U12" s="45"/>
      <c r="V12" s="45"/>
      <c r="W12" s="45"/>
      <c r="X12" s="45"/>
      <c r="Y12" s="45"/>
      <c r="Z12" s="45"/>
      <c r="AA12" s="193">
        <v>11</v>
      </c>
      <c r="AB12" s="194" t="s">
        <v>162</v>
      </c>
      <c r="AC12" s="97">
        <v>4957290.21</v>
      </c>
      <c r="AD12" s="97">
        <v>5485</v>
      </c>
      <c r="AE12" s="97">
        <v>613775.15</v>
      </c>
      <c r="AF12" s="97">
        <v>679.101</v>
      </c>
      <c r="AG12" s="97">
        <v>2058339.95</v>
      </c>
      <c r="AH12" s="97">
        <v>2277.4149</v>
      </c>
      <c r="AI12" s="97">
        <v>8406485.61</v>
      </c>
      <c r="AJ12" s="97">
        <v>9301.2117</v>
      </c>
      <c r="AK12" s="141">
        <f>VLOOKUP(AA12,'FY 2008 TABLE 15'!$A$11:$M$146,6,FALSE)-AC12</f>
        <v>0</v>
      </c>
      <c r="AL12" s="141">
        <f>VLOOKUP(AA12,'FY 2008 TABLE 15'!$A$11:$M$146,7,FALSE)-AD12</f>
        <v>0</v>
      </c>
      <c r="AM12" s="141">
        <f>VLOOKUP(AA12,'FY 2008 TABLE 15'!$A$11:$M$146,10,FALSE)-AE12</f>
        <v>0</v>
      </c>
      <c r="AN12" s="141">
        <f>VLOOKUP(AA12,'FY 2008 TABLE 15'!$A$11:$M$146,11,FALSE)-AF12</f>
        <v>-0.10099999999999909</v>
      </c>
      <c r="AO12" s="141">
        <f>VLOOKUP(AA12,'FY 2008 TABLE 15'!$A$11:$M$146,4,FALSE)-AG12</f>
        <v>0</v>
      </c>
      <c r="AP12" s="141">
        <f>VLOOKUP(AA12,'FY 2008 TABLE 15'!$A$11:$M$146,5,FALSE)-AH12</f>
        <v>-0.4149000000002161</v>
      </c>
      <c r="AQ12" s="141">
        <f>VLOOKUP(AA12,'FY 2008 TABLE 15'!$A$11:$M$146,12,FALSE)-AI12</f>
        <v>0</v>
      </c>
      <c r="AR12" s="142">
        <f>VLOOKUP(AA12,'FY 2008 TABLE 15'!$A$11:$M$146,13,FALSE)-AJ12</f>
        <v>-0.21169999999983702</v>
      </c>
    </row>
    <row r="13" spans="1:44" ht="6" customHeight="1">
      <c r="A13" s="170"/>
      <c r="B13" s="48"/>
      <c r="C13" s="48"/>
      <c r="D13" s="48"/>
      <c r="E13" s="48"/>
      <c r="F13" s="48"/>
      <c r="G13" s="48"/>
      <c r="H13" s="176"/>
      <c r="I13" s="132"/>
      <c r="J13" s="67"/>
      <c r="K13" s="45"/>
      <c r="L13" s="45"/>
      <c r="M13" s="45"/>
      <c r="N13" s="45"/>
      <c r="O13" s="45"/>
      <c r="P13" s="45"/>
      <c r="Q13" s="45"/>
      <c r="R13" s="45"/>
      <c r="S13" s="45"/>
      <c r="T13" s="45"/>
      <c r="U13" s="45"/>
      <c r="V13" s="45"/>
      <c r="W13" s="45"/>
      <c r="X13" s="45"/>
      <c r="Y13" s="45"/>
      <c r="Z13" s="45"/>
      <c r="AA13" s="193">
        <v>12</v>
      </c>
      <c r="AB13" s="194" t="s">
        <v>163</v>
      </c>
      <c r="AC13" s="97">
        <v>20183486.910000004</v>
      </c>
      <c r="AD13" s="97">
        <v>4088</v>
      </c>
      <c r="AE13" s="97">
        <v>2159183.2</v>
      </c>
      <c r="AF13" s="97">
        <v>437.3472</v>
      </c>
      <c r="AG13" s="97">
        <v>20118750.349999998</v>
      </c>
      <c r="AH13" s="97">
        <v>4075.0964</v>
      </c>
      <c r="AI13" s="97">
        <v>47281147.89</v>
      </c>
      <c r="AJ13" s="97">
        <v>9576.8988</v>
      </c>
      <c r="AK13" s="141">
        <f>VLOOKUP(AA13,'FY 2008 TABLE 15'!$A$11:$M$146,6,FALSE)-AC13</f>
        <v>0</v>
      </c>
      <c r="AL13" s="141">
        <f>VLOOKUP(AA13,'FY 2008 TABLE 15'!$A$11:$M$146,7,FALSE)-AD13</f>
        <v>0</v>
      </c>
      <c r="AM13" s="141">
        <f>VLOOKUP(AA13,'FY 2008 TABLE 15'!$A$11:$M$146,10,FALSE)-AE13</f>
        <v>0</v>
      </c>
      <c r="AN13" s="141">
        <f>VLOOKUP(AA13,'FY 2008 TABLE 15'!$A$11:$M$146,11,FALSE)-AF13</f>
        <v>-0.34719999999998663</v>
      </c>
      <c r="AO13" s="141">
        <f>VLOOKUP(AA13,'FY 2008 TABLE 15'!$A$11:$M$146,4,FALSE)-AG13</f>
        <v>0</v>
      </c>
      <c r="AP13" s="141">
        <f>VLOOKUP(AA13,'FY 2008 TABLE 15'!$A$11:$M$146,5,FALSE)-AH13</f>
        <v>-0.09639999999990323</v>
      </c>
      <c r="AQ13" s="141">
        <f>VLOOKUP(AA13,'FY 2008 TABLE 15'!$A$11:$M$146,12,FALSE)-AI13</f>
        <v>0</v>
      </c>
      <c r="AR13" s="142">
        <f>VLOOKUP(AA13,'FY 2008 TABLE 15'!$A$11:$M$146,13,FALSE)-AJ13</f>
        <v>0.10119999999915308</v>
      </c>
    </row>
    <row r="14" spans="1:44" ht="15" customHeight="1">
      <c r="A14" s="239" t="s">
        <v>438</v>
      </c>
      <c r="B14" s="240"/>
      <c r="C14" s="240"/>
      <c r="D14" s="48"/>
      <c r="E14" s="54"/>
      <c r="F14" s="26" t="e">
        <f>SUM(VLOOKUP($A$5,'Source Data'!A2:P137,2,FALSE)-VLOOKUP($A$5,'Source Data'!A2:P137,6,FALSE))</f>
        <v>#N/A</v>
      </c>
      <c r="G14" s="48"/>
      <c r="H14" s="182"/>
      <c r="I14" s="132"/>
      <c r="J14" s="67"/>
      <c r="K14" s="45"/>
      <c r="L14" s="45"/>
      <c r="M14" s="45"/>
      <c r="N14" s="45"/>
      <c r="O14" s="45"/>
      <c r="P14" s="45"/>
      <c r="Q14" s="45"/>
      <c r="R14" s="45"/>
      <c r="S14" s="45"/>
      <c r="T14" s="45"/>
      <c r="U14" s="45"/>
      <c r="V14" s="45"/>
      <c r="W14" s="45"/>
      <c r="X14" s="45"/>
      <c r="Y14" s="45"/>
      <c r="Z14" s="45"/>
      <c r="AA14" s="193">
        <v>13</v>
      </c>
      <c r="AB14" s="194" t="s">
        <v>164</v>
      </c>
      <c r="AC14" s="97">
        <v>13112756.66</v>
      </c>
      <c r="AD14" s="97">
        <v>6118</v>
      </c>
      <c r="AE14" s="97">
        <v>2985038.38</v>
      </c>
      <c r="AF14" s="97">
        <v>1392.7632</v>
      </c>
      <c r="AG14" s="97">
        <v>4944719.38</v>
      </c>
      <c r="AH14" s="97">
        <v>2307.1138</v>
      </c>
      <c r="AI14" s="97">
        <v>23328477.64</v>
      </c>
      <c r="AJ14" s="97">
        <v>10884.6323</v>
      </c>
      <c r="AK14" s="141">
        <f>VLOOKUP(AA14,'FY 2008 TABLE 15'!$A$11:$M$146,6,FALSE)-AC14</f>
        <v>0</v>
      </c>
      <c r="AL14" s="141">
        <f>VLOOKUP(AA14,'FY 2008 TABLE 15'!$A$11:$M$146,7,FALSE)-AD14</f>
        <v>0</v>
      </c>
      <c r="AM14" s="141">
        <f>VLOOKUP(AA14,'FY 2008 TABLE 15'!$A$11:$M$146,10,FALSE)-AE14</f>
        <v>0</v>
      </c>
      <c r="AN14" s="141">
        <f>VLOOKUP(AA14,'FY 2008 TABLE 15'!$A$11:$M$146,11,FALSE)-AF14</f>
        <v>0.23679999999990287</v>
      </c>
      <c r="AO14" s="141">
        <f>VLOOKUP(AA14,'FY 2008 TABLE 15'!$A$11:$M$146,4,FALSE)-AG14</f>
        <v>0</v>
      </c>
      <c r="AP14" s="141">
        <f>VLOOKUP(AA14,'FY 2008 TABLE 15'!$A$11:$M$146,5,FALSE)-AH14</f>
        <v>-0.11380000000008295</v>
      </c>
      <c r="AQ14" s="141">
        <f>VLOOKUP(AA14,'FY 2008 TABLE 15'!$A$11:$M$146,12,FALSE)-AI14</f>
        <v>0</v>
      </c>
      <c r="AR14" s="142">
        <f>VLOOKUP(AA14,'FY 2008 TABLE 15'!$A$11:$M$146,13,FALSE)-AJ14</f>
        <v>0.3677000000006956</v>
      </c>
    </row>
    <row r="15" spans="1:44" ht="6.75" customHeight="1">
      <c r="A15" s="170"/>
      <c r="B15" s="54"/>
      <c r="C15" s="54"/>
      <c r="D15" s="54"/>
      <c r="E15" s="54"/>
      <c r="F15" s="27"/>
      <c r="G15" s="48"/>
      <c r="H15" s="183"/>
      <c r="I15" s="132"/>
      <c r="J15" s="67"/>
      <c r="K15" s="45"/>
      <c r="L15" s="45"/>
      <c r="M15" s="45"/>
      <c r="N15" s="45"/>
      <c r="O15" s="45"/>
      <c r="P15" s="45"/>
      <c r="Q15" s="45"/>
      <c r="R15" s="45"/>
      <c r="S15" s="45"/>
      <c r="T15" s="45"/>
      <c r="U15" s="45"/>
      <c r="V15" s="45"/>
      <c r="W15" s="45"/>
      <c r="X15" s="45"/>
      <c r="Y15" s="45"/>
      <c r="Z15" s="45"/>
      <c r="AA15" s="193">
        <v>14</v>
      </c>
      <c r="AB15" s="194" t="s">
        <v>165</v>
      </c>
      <c r="AC15" s="97">
        <v>18696465.71</v>
      </c>
      <c r="AD15" s="97">
        <v>5596</v>
      </c>
      <c r="AE15" s="97">
        <v>4587342.05</v>
      </c>
      <c r="AF15" s="97">
        <v>1372.9271</v>
      </c>
      <c r="AG15" s="97">
        <v>10187275.469999999</v>
      </c>
      <c r="AH15" s="97">
        <v>3048.9085</v>
      </c>
      <c r="AI15" s="97">
        <v>36483621.15</v>
      </c>
      <c r="AJ15" s="97">
        <v>10919.0356</v>
      </c>
      <c r="AK15" s="141">
        <f>VLOOKUP(AA15,'FY 2008 TABLE 15'!$A$11:$M$146,6,FALSE)-AC15</f>
        <v>0</v>
      </c>
      <c r="AL15" s="141">
        <f>VLOOKUP(AA15,'FY 2008 TABLE 15'!$A$11:$M$146,7,FALSE)-AD15</f>
        <v>0</v>
      </c>
      <c r="AM15" s="141">
        <f>VLOOKUP(AA15,'FY 2008 TABLE 15'!$A$11:$M$146,10,FALSE)-AE15</f>
        <v>0</v>
      </c>
      <c r="AN15" s="141">
        <f>VLOOKUP(AA15,'FY 2008 TABLE 15'!$A$11:$M$146,11,FALSE)-AF15</f>
        <v>0.0728999999998905</v>
      </c>
      <c r="AO15" s="141">
        <f>VLOOKUP(AA15,'FY 2008 TABLE 15'!$A$11:$M$146,4,FALSE)-AG15</f>
        <v>0</v>
      </c>
      <c r="AP15" s="141">
        <f>VLOOKUP(AA15,'FY 2008 TABLE 15'!$A$11:$M$146,5,FALSE)-AH15</f>
        <v>0.09149999999999636</v>
      </c>
      <c r="AQ15" s="141">
        <f>VLOOKUP(AA15,'FY 2008 TABLE 15'!$A$11:$M$146,12,FALSE)-AI15</f>
        <v>0</v>
      </c>
      <c r="AR15" s="142">
        <f>VLOOKUP(AA15,'FY 2008 TABLE 15'!$A$11:$M$146,13,FALSE)-AJ15</f>
        <v>-0.03559999999924912</v>
      </c>
    </row>
    <row r="16" spans="1:44" ht="15.75">
      <c r="A16" s="178" t="s">
        <v>2</v>
      </c>
      <c r="B16" s="48"/>
      <c r="C16" s="48"/>
      <c r="D16" s="48"/>
      <c r="E16" s="48"/>
      <c r="F16" s="28" t="e">
        <f>VLOOKUP($A$5,'Source Data'!A2:P137,3,FALSE)</f>
        <v>#N/A</v>
      </c>
      <c r="G16" s="48"/>
      <c r="H16" s="183"/>
      <c r="I16" s="132"/>
      <c r="J16" s="67"/>
      <c r="K16" s="45"/>
      <c r="L16" s="45"/>
      <c r="M16" s="45"/>
      <c r="N16" s="45"/>
      <c r="O16" s="45"/>
      <c r="P16" s="45"/>
      <c r="Q16" s="45"/>
      <c r="R16" s="45"/>
      <c r="S16" s="45"/>
      <c r="T16" s="45"/>
      <c r="U16" s="45"/>
      <c r="V16" s="45"/>
      <c r="W16" s="45"/>
      <c r="X16" s="45"/>
      <c r="Y16" s="45"/>
      <c r="Z16" s="45"/>
      <c r="AA16" s="193">
        <v>15</v>
      </c>
      <c r="AB16" s="194" t="s">
        <v>166</v>
      </c>
      <c r="AC16" s="97">
        <v>11564714.6</v>
      </c>
      <c r="AD16" s="97">
        <v>5782</v>
      </c>
      <c r="AE16" s="97">
        <v>2194071.18</v>
      </c>
      <c r="AF16" s="97">
        <v>1096.9321</v>
      </c>
      <c r="AG16" s="97">
        <v>5785786.27</v>
      </c>
      <c r="AH16" s="97">
        <v>2892.6202</v>
      </c>
      <c r="AI16" s="97">
        <v>21739090</v>
      </c>
      <c r="AJ16" s="97">
        <v>10868.5196</v>
      </c>
      <c r="AK16" s="141">
        <f>VLOOKUP(AA16,'FY 2008 TABLE 15'!$A$11:$M$146,6,FALSE)-AC16</f>
        <v>0</v>
      </c>
      <c r="AL16" s="141">
        <f>VLOOKUP(AA16,'FY 2008 TABLE 15'!$A$11:$M$146,7,FALSE)-AD16</f>
        <v>0</v>
      </c>
      <c r="AM16" s="141">
        <f>VLOOKUP(AA16,'FY 2008 TABLE 15'!$A$11:$M$146,10,FALSE)-AE16</f>
        <v>0</v>
      </c>
      <c r="AN16" s="141">
        <f>VLOOKUP(AA16,'FY 2008 TABLE 15'!$A$11:$M$146,11,FALSE)-AF16</f>
        <v>0.06790000000000873</v>
      </c>
      <c r="AO16" s="141">
        <f>VLOOKUP(AA16,'FY 2008 TABLE 15'!$A$11:$M$146,4,FALSE)-AG16</f>
        <v>0</v>
      </c>
      <c r="AP16" s="141">
        <f>VLOOKUP(AA16,'FY 2008 TABLE 15'!$A$11:$M$146,5,FALSE)-AH16</f>
        <v>0.37980000000015934</v>
      </c>
      <c r="AQ16" s="141">
        <f>VLOOKUP(AA16,'FY 2008 TABLE 15'!$A$11:$M$146,12,FALSE)-AI16</f>
        <v>0</v>
      </c>
      <c r="AR16" s="142">
        <f>VLOOKUP(AA16,'FY 2008 TABLE 15'!$A$11:$M$146,13,FALSE)-AJ16</f>
        <v>0.48040000000037253</v>
      </c>
    </row>
    <row r="17" spans="1:44" ht="6.75" customHeight="1">
      <c r="A17" s="184"/>
      <c r="B17" s="48"/>
      <c r="C17" s="48"/>
      <c r="D17" s="48"/>
      <c r="E17" s="48"/>
      <c r="F17" s="54"/>
      <c r="G17" s="48"/>
      <c r="H17" s="183"/>
      <c r="I17" s="132"/>
      <c r="J17" s="67"/>
      <c r="K17" s="45"/>
      <c r="L17" s="45"/>
      <c r="M17" s="45"/>
      <c r="N17" s="45"/>
      <c r="O17" s="45"/>
      <c r="P17" s="45"/>
      <c r="Q17" s="45"/>
      <c r="R17" s="45"/>
      <c r="S17" s="45"/>
      <c r="T17" s="45"/>
      <c r="U17" s="45"/>
      <c r="V17" s="45"/>
      <c r="W17" s="45"/>
      <c r="X17" s="45"/>
      <c r="Y17" s="45"/>
      <c r="Z17" s="45"/>
      <c r="AA17" s="193">
        <v>16</v>
      </c>
      <c r="AB17" s="194" t="s">
        <v>167</v>
      </c>
      <c r="AC17" s="97">
        <v>41698797.69</v>
      </c>
      <c r="AD17" s="97">
        <v>4880</v>
      </c>
      <c r="AE17" s="97">
        <v>4927922.13</v>
      </c>
      <c r="AF17" s="97">
        <v>576.7013</v>
      </c>
      <c r="AG17" s="97">
        <v>19333576.680000007</v>
      </c>
      <c r="AH17" s="97">
        <v>2262.5558</v>
      </c>
      <c r="AI17" s="97">
        <v>74313509.84</v>
      </c>
      <c r="AJ17" s="97">
        <v>8696.7074</v>
      </c>
      <c r="AK17" s="141">
        <f>VLOOKUP(AA17,'FY 2008 TABLE 15'!$A$11:$M$146,6,FALSE)-AC17</f>
        <v>0</v>
      </c>
      <c r="AL17" s="141">
        <f>VLOOKUP(AA17,'FY 2008 TABLE 15'!$A$11:$M$146,7,FALSE)-AD17</f>
        <v>0</v>
      </c>
      <c r="AM17" s="141">
        <f>VLOOKUP(AA17,'FY 2008 TABLE 15'!$A$11:$M$146,10,FALSE)-AE17</f>
        <v>0</v>
      </c>
      <c r="AN17" s="141">
        <f>VLOOKUP(AA17,'FY 2008 TABLE 15'!$A$11:$M$146,11,FALSE)-AF17</f>
        <v>0.2987000000000535</v>
      </c>
      <c r="AO17" s="141">
        <f>VLOOKUP(AA17,'FY 2008 TABLE 15'!$A$11:$M$146,4,FALSE)-AG17</f>
        <v>0</v>
      </c>
      <c r="AP17" s="141">
        <f>VLOOKUP(AA17,'FY 2008 TABLE 15'!$A$11:$M$146,5,FALSE)-AH17</f>
        <v>0.4441999999999098</v>
      </c>
      <c r="AQ17" s="141">
        <f>VLOOKUP(AA17,'FY 2008 TABLE 15'!$A$11:$M$146,12,FALSE)-AI17</f>
        <v>0</v>
      </c>
      <c r="AR17" s="142">
        <f>VLOOKUP(AA17,'FY 2008 TABLE 15'!$A$11:$M$146,13,FALSE)-AJ17</f>
        <v>0.2926000000006752</v>
      </c>
    </row>
    <row r="18" spans="1:44" ht="15.75">
      <c r="A18" s="178" t="s">
        <v>3</v>
      </c>
      <c r="B18" s="48"/>
      <c r="C18" s="48"/>
      <c r="D18" s="48"/>
      <c r="E18" s="48"/>
      <c r="F18" s="26" t="e">
        <f>VLOOKUP($A$5,'Source Data'!A2:P137,4,FALSE)</f>
        <v>#N/A</v>
      </c>
      <c r="G18" s="48"/>
      <c r="H18" s="183"/>
      <c r="I18" s="132"/>
      <c r="J18" s="67"/>
      <c r="K18" s="45"/>
      <c r="L18" s="45"/>
      <c r="M18" s="45"/>
      <c r="N18" s="45"/>
      <c r="O18" s="45"/>
      <c r="P18" s="45"/>
      <c r="Q18" s="45"/>
      <c r="R18" s="45"/>
      <c r="S18" s="45"/>
      <c r="T18" s="45"/>
      <c r="U18" s="45"/>
      <c r="V18" s="45"/>
      <c r="W18" s="45"/>
      <c r="X18" s="45"/>
      <c r="Y18" s="45"/>
      <c r="Z18" s="45"/>
      <c r="AA18" s="193">
        <v>17</v>
      </c>
      <c r="AB18" s="194" t="s">
        <v>168</v>
      </c>
      <c r="AC18" s="97">
        <v>17588985.63</v>
      </c>
      <c r="AD18" s="97">
        <v>4342</v>
      </c>
      <c r="AE18" s="97">
        <v>3022039.78</v>
      </c>
      <c r="AF18" s="97">
        <v>745.934</v>
      </c>
      <c r="AG18" s="97">
        <v>12754200.29</v>
      </c>
      <c r="AH18" s="97">
        <v>3148.136</v>
      </c>
      <c r="AI18" s="97">
        <v>37887894.8</v>
      </c>
      <c r="AJ18" s="97">
        <v>9351.9188</v>
      </c>
      <c r="AK18" s="141">
        <f>VLOOKUP(AA18,'FY 2008 TABLE 15'!$A$11:$M$146,6,FALSE)-AC18</f>
        <v>0</v>
      </c>
      <c r="AL18" s="141">
        <f>VLOOKUP(AA18,'FY 2008 TABLE 15'!$A$11:$M$146,7,FALSE)-AD18</f>
        <v>0</v>
      </c>
      <c r="AM18" s="141">
        <f>VLOOKUP(AA18,'FY 2008 TABLE 15'!$A$11:$M$146,10,FALSE)-AE18</f>
        <v>0</v>
      </c>
      <c r="AN18" s="141">
        <f>VLOOKUP(AA18,'FY 2008 TABLE 15'!$A$11:$M$146,11,FALSE)-AF18</f>
        <v>0.06600000000003092</v>
      </c>
      <c r="AO18" s="141">
        <f>VLOOKUP(AA18,'FY 2008 TABLE 15'!$A$11:$M$146,4,FALSE)-AG18</f>
        <v>0</v>
      </c>
      <c r="AP18" s="141">
        <f>VLOOKUP(AA18,'FY 2008 TABLE 15'!$A$11:$M$146,5,FALSE)-AH18</f>
        <v>-0.13599999999996726</v>
      </c>
      <c r="AQ18" s="141">
        <f>VLOOKUP(AA18,'FY 2008 TABLE 15'!$A$11:$M$146,12,FALSE)-AI18</f>
        <v>0</v>
      </c>
      <c r="AR18" s="142">
        <f>VLOOKUP(AA18,'FY 2008 TABLE 15'!$A$11:$M$146,13,FALSE)-AJ18</f>
        <v>0.08120000000053551</v>
      </c>
    </row>
    <row r="19" spans="1:44" ht="4.5" customHeight="1">
      <c r="A19" s="184"/>
      <c r="B19" s="48"/>
      <c r="C19" s="48"/>
      <c r="D19" s="48"/>
      <c r="E19" s="48"/>
      <c r="F19" s="54"/>
      <c r="G19" s="48"/>
      <c r="H19" s="183"/>
      <c r="I19" s="132"/>
      <c r="J19" s="67"/>
      <c r="K19" s="45"/>
      <c r="L19" s="45"/>
      <c r="M19" s="45"/>
      <c r="N19" s="45"/>
      <c r="O19" s="45"/>
      <c r="P19" s="45"/>
      <c r="Q19" s="45"/>
      <c r="R19" s="45"/>
      <c r="S19" s="45"/>
      <c r="T19" s="45"/>
      <c r="U19" s="45"/>
      <c r="V19" s="45"/>
      <c r="W19" s="45"/>
      <c r="X19" s="45"/>
      <c r="Y19" s="45"/>
      <c r="Z19" s="45"/>
      <c r="AA19" s="193">
        <v>18</v>
      </c>
      <c r="AB19" s="194" t="s">
        <v>169</v>
      </c>
      <c r="AC19" s="97">
        <v>19173636.97</v>
      </c>
      <c r="AD19" s="97">
        <v>4838</v>
      </c>
      <c r="AE19" s="97">
        <v>5149477.28</v>
      </c>
      <c r="AF19" s="97">
        <v>1299.396</v>
      </c>
      <c r="AG19" s="97">
        <v>10482490.530000005</v>
      </c>
      <c r="AH19" s="97">
        <v>2645.1046</v>
      </c>
      <c r="AI19" s="97">
        <v>38637707.480000004</v>
      </c>
      <c r="AJ19" s="97">
        <v>9749.6655</v>
      </c>
      <c r="AK19" s="141">
        <f>VLOOKUP(AA19,'FY 2008 TABLE 15'!$A$11:$M$146,6,FALSE)-AC19</f>
        <v>0</v>
      </c>
      <c r="AL19" s="141">
        <f>VLOOKUP(AA19,'FY 2008 TABLE 15'!$A$11:$M$146,7,FALSE)-AD19</f>
        <v>0</v>
      </c>
      <c r="AM19" s="141">
        <f>VLOOKUP(AA19,'FY 2008 TABLE 15'!$A$11:$M$146,10,FALSE)-AE19</f>
        <v>0</v>
      </c>
      <c r="AN19" s="141">
        <f>VLOOKUP(AA19,'FY 2008 TABLE 15'!$A$11:$M$146,11,FALSE)-AF19</f>
        <v>-0.39599999999995816</v>
      </c>
      <c r="AO19" s="141">
        <f>VLOOKUP(AA19,'FY 2008 TABLE 15'!$A$11:$M$146,4,FALSE)-AG19</f>
        <v>0</v>
      </c>
      <c r="AP19" s="141">
        <f>VLOOKUP(AA19,'FY 2008 TABLE 15'!$A$11:$M$146,5,FALSE)-AH19</f>
        <v>-0.1046000000001186</v>
      </c>
      <c r="AQ19" s="141">
        <f>VLOOKUP(AA19,'FY 2008 TABLE 15'!$A$11:$M$146,12,FALSE)-AI19</f>
        <v>0</v>
      </c>
      <c r="AR19" s="142">
        <f>VLOOKUP(AA19,'FY 2008 TABLE 15'!$A$11:$M$146,13,FALSE)-AJ19</f>
        <v>0.334500000000844</v>
      </c>
    </row>
    <row r="20" spans="1:44" ht="16.5" customHeight="1">
      <c r="A20" s="185" t="s">
        <v>610</v>
      </c>
      <c r="B20" s="48"/>
      <c r="C20" s="48"/>
      <c r="D20" s="48"/>
      <c r="E20" s="48"/>
      <c r="F20" s="54"/>
      <c r="G20" s="48"/>
      <c r="H20" s="183"/>
      <c r="I20" s="132"/>
      <c r="J20" s="67"/>
      <c r="K20" s="45"/>
      <c r="L20" s="45"/>
      <c r="M20" s="45"/>
      <c r="N20" s="45"/>
      <c r="O20" s="45"/>
      <c r="P20" s="45"/>
      <c r="Q20" s="45"/>
      <c r="R20" s="45"/>
      <c r="S20" s="45"/>
      <c r="T20" s="45"/>
      <c r="U20" s="45"/>
      <c r="V20" s="45"/>
      <c r="W20" s="45"/>
      <c r="X20" s="45"/>
      <c r="Y20" s="45"/>
      <c r="Z20" s="45"/>
      <c r="AA20" s="193">
        <v>19</v>
      </c>
      <c r="AB20" s="194" t="s">
        <v>170</v>
      </c>
      <c r="AC20" s="97">
        <v>4488812.55</v>
      </c>
      <c r="AD20" s="97">
        <v>5204</v>
      </c>
      <c r="AE20" s="97">
        <v>929105.97</v>
      </c>
      <c r="AF20" s="97">
        <v>1077.0458</v>
      </c>
      <c r="AG20" s="97">
        <v>5078417.47</v>
      </c>
      <c r="AH20" s="97">
        <v>5887.0445</v>
      </c>
      <c r="AI20" s="97">
        <v>11279398.79</v>
      </c>
      <c r="AJ20" s="97">
        <v>13075.3966</v>
      </c>
      <c r="AK20" s="141"/>
      <c r="AL20" s="141"/>
      <c r="AM20" s="141"/>
      <c r="AN20" s="141"/>
      <c r="AO20" s="141"/>
      <c r="AP20" s="141"/>
      <c r="AQ20" s="141"/>
      <c r="AR20" s="142"/>
    </row>
    <row r="21" spans="1:44" ht="16.5" customHeight="1">
      <c r="A21" s="185" t="s">
        <v>623</v>
      </c>
      <c r="B21" s="169"/>
      <c r="C21" s="169"/>
      <c r="D21" s="169"/>
      <c r="E21" s="164"/>
      <c r="F21" s="26" t="e">
        <f>VLOOKUP($A$5,'Source Data'!A2:P137,5,FALSE)</f>
        <v>#N/A</v>
      </c>
      <c r="G21" s="48"/>
      <c r="H21" s="183"/>
      <c r="I21" s="132"/>
      <c r="J21" s="67"/>
      <c r="K21" s="45"/>
      <c r="L21" s="45"/>
      <c r="M21" s="45"/>
      <c r="N21" s="45"/>
      <c r="O21" s="45"/>
      <c r="P21" s="45"/>
      <c r="Q21" s="45"/>
      <c r="R21" s="45"/>
      <c r="S21" s="45"/>
      <c r="T21" s="45"/>
      <c r="U21" s="45"/>
      <c r="V21" s="45"/>
      <c r="W21" s="45"/>
      <c r="X21" s="45"/>
      <c r="Y21" s="45"/>
      <c r="Z21" s="45"/>
      <c r="AA21" s="193">
        <v>20</v>
      </c>
      <c r="AB21" s="194" t="s">
        <v>171</v>
      </c>
      <c r="AC21" s="97">
        <v>12680221.110000001</v>
      </c>
      <c r="AD21" s="97">
        <v>6035</v>
      </c>
      <c r="AE21" s="97">
        <v>1856848.97</v>
      </c>
      <c r="AF21" s="97">
        <v>883.7906</v>
      </c>
      <c r="AG21" s="97">
        <v>3800251.82</v>
      </c>
      <c r="AH21" s="97">
        <v>1808.7777</v>
      </c>
      <c r="AI21" s="97">
        <v>20181149.64</v>
      </c>
      <c r="AJ21" s="97">
        <v>9605.4721</v>
      </c>
      <c r="AK21" s="141">
        <f>VLOOKUP(AA21,'FY 2008 TABLE 15'!$A$11:$M$146,6,FALSE)-AC21</f>
        <v>0</v>
      </c>
      <c r="AL21" s="141">
        <f>VLOOKUP(AA21,'FY 2008 TABLE 15'!$A$11:$M$146,7,FALSE)-AD21</f>
        <v>0</v>
      </c>
      <c r="AM21" s="141">
        <f>VLOOKUP(AA21,'FY 2008 TABLE 15'!$A$11:$M$146,10,FALSE)-AE21</f>
        <v>0</v>
      </c>
      <c r="AN21" s="141">
        <f>VLOOKUP(AA21,'FY 2008 TABLE 15'!$A$11:$M$146,11,FALSE)-AF21</f>
        <v>0.20939999999995962</v>
      </c>
      <c r="AO21" s="141">
        <f>VLOOKUP(AA21,'FY 2008 TABLE 15'!$A$11:$M$146,4,FALSE)-AG21</f>
        <v>0</v>
      </c>
      <c r="AP21" s="141">
        <f>VLOOKUP(AA21,'FY 2008 TABLE 15'!$A$11:$M$146,5,FALSE)-AH21</f>
        <v>0.22229999999990468</v>
      </c>
      <c r="AQ21" s="141">
        <f>VLOOKUP(AA21,'FY 2008 TABLE 15'!$A$11:$M$146,12,FALSE)-AI21</f>
        <v>0</v>
      </c>
      <c r="AR21" s="142">
        <f>VLOOKUP(AA21,'FY 2008 TABLE 15'!$A$11:$M$146,13,FALSE)-AJ21</f>
        <v>-0.4721000000008644</v>
      </c>
    </row>
    <row r="22" spans="1:44" ht="6.75" customHeight="1">
      <c r="A22" s="170"/>
      <c r="B22" s="48"/>
      <c r="C22" s="48"/>
      <c r="D22" s="48"/>
      <c r="E22" s="48"/>
      <c r="F22" s="54"/>
      <c r="G22" s="48"/>
      <c r="H22" s="183"/>
      <c r="I22" s="132"/>
      <c r="J22" s="135"/>
      <c r="K22" s="45"/>
      <c r="L22" s="45"/>
      <c r="M22" s="45"/>
      <c r="N22" s="45"/>
      <c r="O22" s="45"/>
      <c r="P22" s="45"/>
      <c r="Q22" s="45"/>
      <c r="R22" s="45"/>
      <c r="S22" s="45"/>
      <c r="T22" s="45"/>
      <c r="U22" s="45"/>
      <c r="V22" s="45"/>
      <c r="W22" s="45"/>
      <c r="X22" s="45"/>
      <c r="Y22" s="45"/>
      <c r="Z22" s="45"/>
      <c r="AA22" s="193">
        <v>21</v>
      </c>
      <c r="AB22" s="194" t="s">
        <v>172</v>
      </c>
      <c r="AC22" s="97">
        <v>226588362.14</v>
      </c>
      <c r="AD22" s="97">
        <v>3896</v>
      </c>
      <c r="AE22" s="97">
        <v>22754165.170000006</v>
      </c>
      <c r="AF22" s="97">
        <v>391.2146</v>
      </c>
      <c r="AG22" s="97">
        <v>244208168.43</v>
      </c>
      <c r="AH22" s="97">
        <v>4198.6953</v>
      </c>
      <c r="AI22" s="97">
        <v>543456862.35</v>
      </c>
      <c r="AJ22" s="97">
        <v>9343.7078</v>
      </c>
      <c r="AK22" s="141">
        <f>VLOOKUP(AA22,'FY 2008 TABLE 15'!$A$11:$M$146,6,FALSE)-AC22</f>
        <v>0</v>
      </c>
      <c r="AL22" s="141">
        <f>VLOOKUP(AA22,'FY 2008 TABLE 15'!$A$11:$M$146,7,FALSE)-AD22</f>
        <v>0</v>
      </c>
      <c r="AM22" s="141">
        <f>VLOOKUP(AA22,'FY 2008 TABLE 15'!$A$11:$M$146,10,FALSE)-AE22</f>
        <v>0</v>
      </c>
      <c r="AN22" s="141">
        <f>VLOOKUP(AA22,'FY 2008 TABLE 15'!$A$11:$M$146,11,FALSE)-AF22</f>
        <v>-0.21460000000001855</v>
      </c>
      <c r="AO22" s="141">
        <f>VLOOKUP(AA22,'FY 2008 TABLE 15'!$A$11:$M$146,4,FALSE)-AG22</f>
        <v>0</v>
      </c>
      <c r="AP22" s="141">
        <f>VLOOKUP(AA22,'FY 2008 TABLE 15'!$A$11:$M$146,5,FALSE)-AH22</f>
        <v>0.3046999999996842</v>
      </c>
      <c r="AQ22" s="141">
        <f>VLOOKUP(AA22,'FY 2008 TABLE 15'!$A$11:$M$146,12,FALSE)-AI22</f>
        <v>0</v>
      </c>
      <c r="AR22" s="142">
        <f>VLOOKUP(AA22,'FY 2008 TABLE 15'!$A$11:$M$146,13,FALSE)-AJ22</f>
        <v>0.2921999999998661</v>
      </c>
    </row>
    <row r="23" spans="1:44" ht="15.75">
      <c r="A23" s="180" t="s">
        <v>4</v>
      </c>
      <c r="B23" s="48"/>
      <c r="C23" s="48"/>
      <c r="D23" s="48"/>
      <c r="E23" s="48"/>
      <c r="F23" s="6" t="e">
        <f>F14+F16-F18-F21</f>
        <v>#N/A</v>
      </c>
      <c r="G23" s="48"/>
      <c r="H23" s="183"/>
      <c r="I23" s="132"/>
      <c r="J23" s="67"/>
      <c r="K23" s="45"/>
      <c r="L23" s="45"/>
      <c r="M23" s="45"/>
      <c r="N23" s="45"/>
      <c r="O23" s="45"/>
      <c r="P23" s="45"/>
      <c r="Q23" s="45"/>
      <c r="R23" s="45"/>
      <c r="S23" s="45"/>
      <c r="T23" s="45"/>
      <c r="U23" s="45"/>
      <c r="V23" s="45"/>
      <c r="W23" s="45"/>
      <c r="X23" s="45"/>
      <c r="Y23" s="45"/>
      <c r="Z23" s="45"/>
      <c r="AA23" s="193">
        <v>22</v>
      </c>
      <c r="AB23" s="194" t="s">
        <v>173</v>
      </c>
      <c r="AC23" s="97">
        <v>6367157.42</v>
      </c>
      <c r="AD23" s="97">
        <v>2962</v>
      </c>
      <c r="AE23" s="97">
        <v>846479.18</v>
      </c>
      <c r="AF23" s="97">
        <v>393.7673</v>
      </c>
      <c r="AG23" s="97">
        <v>10924523.860000001</v>
      </c>
      <c r="AH23" s="97">
        <v>5081.897</v>
      </c>
      <c r="AI23" s="97">
        <v>20132957.66</v>
      </c>
      <c r="AJ23" s="97">
        <v>9365.499</v>
      </c>
      <c r="AK23" s="141">
        <f>VLOOKUP(AA23,'FY 2008 TABLE 15'!$A$11:$M$146,6,FALSE)-AC23</f>
        <v>0</v>
      </c>
      <c r="AL23" s="141">
        <f>VLOOKUP(AA23,'FY 2008 TABLE 15'!$A$11:$M$146,7,FALSE)-AD23</f>
        <v>0</v>
      </c>
      <c r="AM23" s="141">
        <f>VLOOKUP(AA23,'FY 2008 TABLE 15'!$A$11:$M$146,10,FALSE)-AE23</f>
        <v>0</v>
      </c>
      <c r="AN23" s="141">
        <f>VLOOKUP(AA23,'FY 2008 TABLE 15'!$A$11:$M$146,11,FALSE)-AF23</f>
        <v>0.23270000000002256</v>
      </c>
      <c r="AO23" s="141">
        <f>VLOOKUP(AA23,'FY 2008 TABLE 15'!$A$11:$M$146,4,FALSE)-AG23</f>
        <v>0</v>
      </c>
      <c r="AP23" s="141">
        <f>VLOOKUP(AA23,'FY 2008 TABLE 15'!$A$11:$M$146,5,FALSE)-AH23</f>
        <v>0.10300000000006548</v>
      </c>
      <c r="AQ23" s="141">
        <f>VLOOKUP(AA23,'FY 2008 TABLE 15'!$A$11:$M$146,12,FALSE)-AI23</f>
        <v>0</v>
      </c>
      <c r="AR23" s="142">
        <f>VLOOKUP(AA23,'FY 2008 TABLE 15'!$A$11:$M$146,13,FALSE)-AJ23</f>
        <v>-0.4989999999997963</v>
      </c>
    </row>
    <row r="24" spans="1:44" ht="6.75" customHeight="1">
      <c r="A24" s="170"/>
      <c r="B24" s="48"/>
      <c r="C24" s="48"/>
      <c r="D24" s="48"/>
      <c r="E24" s="54"/>
      <c r="F24" s="48"/>
      <c r="G24" s="48"/>
      <c r="H24" s="176"/>
      <c r="I24" s="132"/>
      <c r="J24" s="67"/>
      <c r="K24" s="45"/>
      <c r="L24" s="45"/>
      <c r="M24" s="45"/>
      <c r="N24" s="45"/>
      <c r="O24" s="45"/>
      <c r="P24" s="45"/>
      <c r="Q24" s="45"/>
      <c r="R24" s="45"/>
      <c r="S24" s="45"/>
      <c r="T24" s="45"/>
      <c r="U24" s="45"/>
      <c r="V24" s="45"/>
      <c r="W24" s="45"/>
      <c r="X24" s="45"/>
      <c r="Y24" s="45"/>
      <c r="Z24" s="45"/>
      <c r="AA24" s="193">
        <v>23</v>
      </c>
      <c r="AB24" s="194" t="s">
        <v>174</v>
      </c>
      <c r="AC24" s="97">
        <v>3670541.9</v>
      </c>
      <c r="AD24" s="97">
        <v>5026</v>
      </c>
      <c r="AE24" s="97">
        <v>516520.41</v>
      </c>
      <c r="AF24" s="97">
        <v>707.2193</v>
      </c>
      <c r="AG24" s="97">
        <v>1828011.44</v>
      </c>
      <c r="AH24" s="97">
        <v>2502.9115</v>
      </c>
      <c r="AI24" s="97">
        <v>6750441.96</v>
      </c>
      <c r="AJ24" s="97">
        <v>9242.6987</v>
      </c>
      <c r="AK24" s="141">
        <f>VLOOKUP(AA24,'FY 2008 TABLE 15'!$A$11:$M$146,6,FALSE)-AC24</f>
        <v>0</v>
      </c>
      <c r="AL24" s="141">
        <f>VLOOKUP(AA24,'FY 2008 TABLE 15'!$A$11:$M$146,7,FALSE)-AD24</f>
        <v>0</v>
      </c>
      <c r="AM24" s="141">
        <f>VLOOKUP(AA24,'FY 2008 TABLE 15'!$A$11:$M$146,10,FALSE)-AE24</f>
        <v>0</v>
      </c>
      <c r="AN24" s="141">
        <f>VLOOKUP(AA24,'FY 2008 TABLE 15'!$A$11:$M$146,11,FALSE)-AF24</f>
        <v>-0.21929999999997563</v>
      </c>
      <c r="AO24" s="141">
        <f>VLOOKUP(AA24,'FY 2008 TABLE 15'!$A$11:$M$146,4,FALSE)-AG24</f>
        <v>0</v>
      </c>
      <c r="AP24" s="141">
        <f>VLOOKUP(AA24,'FY 2008 TABLE 15'!$A$11:$M$146,5,FALSE)-AH24</f>
        <v>0.08849999999983993</v>
      </c>
      <c r="AQ24" s="141">
        <f>VLOOKUP(AA24,'FY 2008 TABLE 15'!$A$11:$M$146,12,FALSE)-AI24</f>
        <v>0</v>
      </c>
      <c r="AR24" s="142">
        <f>VLOOKUP(AA24,'FY 2008 TABLE 15'!$A$11:$M$146,13,FALSE)-AJ24</f>
        <v>0.30129999999917345</v>
      </c>
    </row>
    <row r="25" spans="1:44" ht="15.75">
      <c r="A25" s="186" t="s">
        <v>5</v>
      </c>
      <c r="B25" s="56"/>
      <c r="C25" s="48"/>
      <c r="D25" s="48"/>
      <c r="E25" s="54"/>
      <c r="F25" s="48"/>
      <c r="G25" s="48"/>
      <c r="H25" s="213" t="e">
        <f>ROUND(F23/$F$51,0)</f>
        <v>#N/A</v>
      </c>
      <c r="I25" s="132" t="e">
        <f>VLOOKUP($A$5,'FY 2008 TABLE 15'!A11:M146,7,FALSE)</f>
        <v>#N/A</v>
      </c>
      <c r="J25" s="67" t="e">
        <f>IF(H25=I25,"OK","???")</f>
        <v>#N/A</v>
      </c>
      <c r="K25" s="45"/>
      <c r="L25" s="45"/>
      <c r="M25" s="45"/>
      <c r="N25" s="45"/>
      <c r="O25" s="45"/>
      <c r="P25" s="45"/>
      <c r="Q25" s="45"/>
      <c r="R25" s="45"/>
      <c r="S25" s="45"/>
      <c r="T25" s="45"/>
      <c r="U25" s="45"/>
      <c r="V25" s="45"/>
      <c r="W25" s="45"/>
      <c r="X25" s="45"/>
      <c r="Y25" s="45"/>
      <c r="Z25" s="45"/>
      <c r="AA25" s="193">
        <v>24</v>
      </c>
      <c r="AB25" s="194" t="s">
        <v>175</v>
      </c>
      <c r="AC25" s="97">
        <v>29144630.46</v>
      </c>
      <c r="AD25" s="97">
        <v>4013</v>
      </c>
      <c r="AE25" s="97">
        <v>3839439.89</v>
      </c>
      <c r="AF25" s="97">
        <v>528.6187</v>
      </c>
      <c r="AG25" s="97">
        <v>29560688.61</v>
      </c>
      <c r="AH25" s="97">
        <v>4069.9509</v>
      </c>
      <c r="AI25" s="97">
        <v>68615409.11</v>
      </c>
      <c r="AJ25" s="97">
        <v>9447.0515</v>
      </c>
      <c r="AK25" s="141">
        <f>VLOOKUP(AA25,'FY 2008 TABLE 15'!$A$11:$M$146,6,FALSE)-AC25</f>
        <v>0</v>
      </c>
      <c r="AL25" s="141">
        <f>VLOOKUP(AA25,'FY 2008 TABLE 15'!$A$11:$M$146,7,FALSE)-AD25</f>
        <v>0</v>
      </c>
      <c r="AM25" s="141">
        <f>VLOOKUP(AA25,'FY 2008 TABLE 15'!$A$11:$M$146,10,FALSE)-AE25</f>
        <v>0</v>
      </c>
      <c r="AN25" s="141">
        <f>VLOOKUP(AA25,'FY 2008 TABLE 15'!$A$11:$M$146,11,FALSE)-AF25</f>
        <v>0.3813000000000102</v>
      </c>
      <c r="AO25" s="141">
        <f>VLOOKUP(AA25,'FY 2008 TABLE 15'!$A$11:$M$146,4,FALSE)-AG25</f>
        <v>0</v>
      </c>
      <c r="AP25" s="141">
        <f>VLOOKUP(AA25,'FY 2008 TABLE 15'!$A$11:$M$146,5,FALSE)-AH25</f>
        <v>0.049100000000180444</v>
      </c>
      <c r="AQ25" s="141">
        <f>VLOOKUP(AA25,'FY 2008 TABLE 15'!$A$11:$M$146,12,FALSE)-AI25</f>
        <v>0</v>
      </c>
      <c r="AR25" s="142">
        <f>VLOOKUP(AA25,'FY 2008 TABLE 15'!$A$11:$M$146,13,FALSE)-AJ25</f>
        <v>-0.051499999999577994</v>
      </c>
    </row>
    <row r="26" spans="1:44" ht="21.75" customHeight="1">
      <c r="A26" s="170"/>
      <c r="B26" s="48"/>
      <c r="C26" s="48"/>
      <c r="D26" s="48"/>
      <c r="E26" s="54"/>
      <c r="F26" s="48"/>
      <c r="G26" s="48"/>
      <c r="H26" s="173"/>
      <c r="I26" s="132"/>
      <c r="J26" s="67"/>
      <c r="K26" s="45"/>
      <c r="L26" s="45"/>
      <c r="M26" s="45"/>
      <c r="N26" s="45"/>
      <c r="O26" s="45"/>
      <c r="P26" s="45"/>
      <c r="Q26" s="45"/>
      <c r="R26" s="45"/>
      <c r="S26" s="45"/>
      <c r="T26" s="45"/>
      <c r="U26" s="45"/>
      <c r="V26" s="45"/>
      <c r="W26" s="45"/>
      <c r="X26" s="45"/>
      <c r="Y26" s="45"/>
      <c r="Z26" s="45"/>
      <c r="AA26" s="193">
        <v>25</v>
      </c>
      <c r="AB26" s="194" t="s">
        <v>176</v>
      </c>
      <c r="AC26" s="97">
        <v>7574660.37</v>
      </c>
      <c r="AD26" s="97">
        <v>5238</v>
      </c>
      <c r="AE26" s="97">
        <v>2105310.8</v>
      </c>
      <c r="AF26" s="97">
        <v>1455.8768</v>
      </c>
      <c r="AG26" s="97">
        <v>5006089.37</v>
      </c>
      <c r="AH26" s="97">
        <v>3461.8401</v>
      </c>
      <c r="AI26" s="97">
        <v>16093456.46</v>
      </c>
      <c r="AJ26" s="97">
        <v>11129.0408</v>
      </c>
      <c r="AK26" s="141">
        <f>VLOOKUP(AA26,'FY 2008 TABLE 15'!$A$11:$M$146,6,FALSE)-AC26</f>
        <v>0</v>
      </c>
      <c r="AL26" s="141">
        <f>VLOOKUP(AA26,'FY 2008 TABLE 15'!$A$11:$M$146,7,FALSE)-AD26</f>
        <v>0</v>
      </c>
      <c r="AM26" s="141">
        <f>VLOOKUP(AA26,'FY 2008 TABLE 15'!$A$11:$M$146,10,FALSE)-AE26</f>
        <v>0</v>
      </c>
      <c r="AN26" s="141">
        <f>VLOOKUP(AA26,'FY 2008 TABLE 15'!$A$11:$M$146,11,FALSE)-AF26</f>
        <v>0.12319999999999709</v>
      </c>
      <c r="AO26" s="141">
        <f>VLOOKUP(AA26,'FY 2008 TABLE 15'!$A$11:$M$146,4,FALSE)-AG26</f>
        <v>0</v>
      </c>
      <c r="AP26" s="141">
        <f>VLOOKUP(AA26,'FY 2008 TABLE 15'!$A$11:$M$146,5,FALSE)-AH26</f>
        <v>0.15990000000010696</v>
      </c>
      <c r="AQ26" s="141">
        <f>VLOOKUP(AA26,'FY 2008 TABLE 15'!$A$11:$M$146,12,FALSE)-AI26</f>
        <v>0</v>
      </c>
      <c r="AR26" s="142">
        <f>VLOOKUP(AA26,'FY 2008 TABLE 15'!$A$11:$M$146,13,FALSE)-AJ26</f>
        <v>-0.0408000000006723</v>
      </c>
    </row>
    <row r="27" spans="1:44" ht="15.75">
      <c r="A27" s="239" t="s">
        <v>607</v>
      </c>
      <c r="B27" s="240"/>
      <c r="C27" s="240"/>
      <c r="D27" s="240"/>
      <c r="E27" s="82"/>
      <c r="F27" s="6" t="e">
        <f>VLOOKUP($A$5,'Source Data'!A2:P137,8,FALSE)</f>
        <v>#N/A</v>
      </c>
      <c r="G27" s="48"/>
      <c r="H27" s="173"/>
      <c r="I27" s="132"/>
      <c r="J27" s="67"/>
      <c r="K27" s="45"/>
      <c r="L27" s="45"/>
      <c r="M27" s="45"/>
      <c r="N27" s="45"/>
      <c r="O27" s="45"/>
      <c r="P27" s="45"/>
      <c r="Q27" s="45"/>
      <c r="R27" s="45"/>
      <c r="S27" s="45"/>
      <c r="T27" s="45"/>
      <c r="U27" s="45"/>
      <c r="V27" s="45"/>
      <c r="W27" s="45"/>
      <c r="X27" s="45"/>
      <c r="Y27" s="45"/>
      <c r="Z27" s="45"/>
      <c r="AA27" s="193">
        <v>26</v>
      </c>
      <c r="AB27" s="194" t="s">
        <v>177</v>
      </c>
      <c r="AC27" s="97">
        <v>13605365.69</v>
      </c>
      <c r="AD27" s="97">
        <v>5525</v>
      </c>
      <c r="AE27" s="97">
        <v>2567826.68</v>
      </c>
      <c r="AF27" s="97">
        <v>1042.817</v>
      </c>
      <c r="AG27" s="97">
        <v>6730953.300000003</v>
      </c>
      <c r="AH27" s="97">
        <v>2733.4993</v>
      </c>
      <c r="AI27" s="97">
        <v>24894738.03</v>
      </c>
      <c r="AJ27" s="97">
        <v>10109.9719</v>
      </c>
      <c r="AK27" s="141">
        <f>VLOOKUP(AA27,'FY 2008 TABLE 15'!$A$11:$M$146,6,FALSE)-AC27</f>
        <v>0</v>
      </c>
      <c r="AL27" s="141">
        <f>VLOOKUP(AA27,'FY 2008 TABLE 15'!$A$11:$M$146,7,FALSE)-AD27</f>
        <v>0</v>
      </c>
      <c r="AM27" s="141">
        <f>VLOOKUP(AA27,'FY 2008 TABLE 15'!$A$11:$M$146,10,FALSE)-AE27</f>
        <v>0</v>
      </c>
      <c r="AN27" s="141">
        <f>VLOOKUP(AA27,'FY 2008 TABLE 15'!$A$11:$M$146,11,FALSE)-AF27</f>
        <v>0.18299999999999272</v>
      </c>
      <c r="AO27" s="141">
        <f>VLOOKUP(AA27,'FY 2008 TABLE 15'!$A$11:$M$146,4,FALSE)-AG27</f>
        <v>0</v>
      </c>
      <c r="AP27" s="141">
        <f>VLOOKUP(AA27,'FY 2008 TABLE 15'!$A$11:$M$146,5,FALSE)-AH27</f>
        <v>-0.49929999999994834</v>
      </c>
      <c r="AQ27" s="141">
        <f>VLOOKUP(AA27,'FY 2008 TABLE 15'!$A$11:$M$146,12,FALSE)-AI27</f>
        <v>0</v>
      </c>
      <c r="AR27" s="142">
        <f>VLOOKUP(AA27,'FY 2008 TABLE 15'!$A$11:$M$146,13,FALSE)-AJ27</f>
        <v>0.02809999999954016</v>
      </c>
    </row>
    <row r="28" spans="1:44" ht="6.75" customHeight="1">
      <c r="A28" s="170"/>
      <c r="B28" s="48"/>
      <c r="C28" s="48"/>
      <c r="D28" s="48"/>
      <c r="E28" s="54"/>
      <c r="F28" s="48"/>
      <c r="G28" s="48"/>
      <c r="H28" s="173"/>
      <c r="I28" s="132"/>
      <c r="J28" s="67"/>
      <c r="K28" s="45"/>
      <c r="L28" s="45"/>
      <c r="M28" s="45"/>
      <c r="N28" s="45"/>
      <c r="O28" s="45"/>
      <c r="P28" s="45"/>
      <c r="Q28" s="45"/>
      <c r="R28" s="45"/>
      <c r="S28" s="45"/>
      <c r="T28" s="45"/>
      <c r="U28" s="45"/>
      <c r="V28" s="45"/>
      <c r="W28" s="45"/>
      <c r="X28" s="45"/>
      <c r="Y28" s="45"/>
      <c r="Z28" s="45"/>
      <c r="AA28" s="193">
        <v>27</v>
      </c>
      <c r="AB28" s="194" t="s">
        <v>178</v>
      </c>
      <c r="AC28" s="97">
        <v>23432211.700000003</v>
      </c>
      <c r="AD28" s="97">
        <v>5025</v>
      </c>
      <c r="AE28" s="97">
        <v>2523231.14</v>
      </c>
      <c r="AF28" s="97">
        <v>541.1426</v>
      </c>
      <c r="AG28" s="97">
        <v>12545528.079999998</v>
      </c>
      <c r="AH28" s="97">
        <v>2690.566</v>
      </c>
      <c r="AI28" s="97">
        <v>42314781.56</v>
      </c>
      <c r="AJ28" s="97">
        <v>9075.0036</v>
      </c>
      <c r="AK28" s="141">
        <f>VLOOKUP(AA28,'FY 2008 TABLE 15'!$A$11:$M$146,6,FALSE)-AC28</f>
        <v>0</v>
      </c>
      <c r="AL28" s="141">
        <f>VLOOKUP(AA28,'FY 2008 TABLE 15'!$A$11:$M$146,7,FALSE)-AD28</f>
        <v>0</v>
      </c>
      <c r="AM28" s="141">
        <f>VLOOKUP(AA28,'FY 2008 TABLE 15'!$A$11:$M$146,10,FALSE)-AE28</f>
        <v>0</v>
      </c>
      <c r="AN28" s="141">
        <f>VLOOKUP(AA28,'FY 2008 TABLE 15'!$A$11:$M$146,11,FALSE)-AF28</f>
        <v>-0.14260000000001583</v>
      </c>
      <c r="AO28" s="141">
        <f>VLOOKUP(AA28,'FY 2008 TABLE 15'!$A$11:$M$146,4,FALSE)-AG28</f>
        <v>0</v>
      </c>
      <c r="AP28" s="141">
        <f>VLOOKUP(AA28,'FY 2008 TABLE 15'!$A$11:$M$146,5,FALSE)-AH28</f>
        <v>0.43400000000019645</v>
      </c>
      <c r="AQ28" s="141">
        <f>VLOOKUP(AA28,'FY 2008 TABLE 15'!$A$11:$M$146,12,FALSE)-AI28</f>
        <v>0</v>
      </c>
      <c r="AR28" s="142">
        <f>VLOOKUP(AA28,'FY 2008 TABLE 15'!$A$11:$M$146,13,FALSE)-AJ28</f>
        <v>-0.0036000000000058208</v>
      </c>
    </row>
    <row r="29" spans="1:44" ht="15.75">
      <c r="A29" s="186" t="s">
        <v>6</v>
      </c>
      <c r="B29" s="56"/>
      <c r="C29" s="48"/>
      <c r="D29" s="48"/>
      <c r="E29" s="54"/>
      <c r="F29" s="48"/>
      <c r="G29" s="48"/>
      <c r="H29" s="213" t="e">
        <f>ROUND(F27/$F$51,0)</f>
        <v>#N/A</v>
      </c>
      <c r="I29" s="132" t="e">
        <f>VLOOKUP($A$5,'FY 2008 TABLE 15'!A11:M146,9,FALSE)</f>
        <v>#N/A</v>
      </c>
      <c r="J29" s="67" t="e">
        <f>IF(H29=I29,"OK","???")</f>
        <v>#N/A</v>
      </c>
      <c r="K29" s="45"/>
      <c r="L29" s="45"/>
      <c r="M29" s="45"/>
      <c r="N29" s="45"/>
      <c r="O29" s="45"/>
      <c r="P29" s="45"/>
      <c r="Q29" s="45"/>
      <c r="R29" s="45"/>
      <c r="S29" s="45"/>
      <c r="T29" s="45"/>
      <c r="U29" s="45"/>
      <c r="V29" s="45"/>
      <c r="W29" s="45"/>
      <c r="X29" s="45"/>
      <c r="Y29" s="45"/>
      <c r="Z29" s="45"/>
      <c r="AA29" s="193">
        <v>28</v>
      </c>
      <c r="AB29" s="194" t="s">
        <v>179</v>
      </c>
      <c r="AC29" s="97">
        <v>6920518.119999999</v>
      </c>
      <c r="AD29" s="97">
        <v>4281</v>
      </c>
      <c r="AE29" s="97">
        <v>1663421.88</v>
      </c>
      <c r="AF29" s="97">
        <v>1029.0552</v>
      </c>
      <c r="AG29" s="97">
        <v>6121536.93</v>
      </c>
      <c r="AH29" s="97">
        <v>3787.0123</v>
      </c>
      <c r="AI29" s="97">
        <v>16227129.29</v>
      </c>
      <c r="AJ29" s="97">
        <v>10038.7108</v>
      </c>
      <c r="AK29" s="141">
        <f>VLOOKUP(AA29,'FY 2008 TABLE 15'!$A$11:$M$146,6,FALSE)-AC29</f>
        <v>0</v>
      </c>
      <c r="AL29" s="141">
        <f>VLOOKUP(AA29,'FY 2008 TABLE 15'!$A$11:$M$146,7,FALSE)-AD29</f>
        <v>0</v>
      </c>
      <c r="AM29" s="141">
        <f>VLOOKUP(AA29,'FY 2008 TABLE 15'!$A$11:$M$146,10,FALSE)-AE29</f>
        <v>0</v>
      </c>
      <c r="AN29" s="141">
        <f>VLOOKUP(AA29,'FY 2008 TABLE 15'!$A$11:$M$146,11,FALSE)-AF29</f>
        <v>-0.05520000000001346</v>
      </c>
      <c r="AO29" s="141">
        <f>VLOOKUP(AA29,'FY 2008 TABLE 15'!$A$11:$M$146,4,FALSE)-AG29</f>
        <v>0</v>
      </c>
      <c r="AP29" s="141">
        <f>VLOOKUP(AA29,'FY 2008 TABLE 15'!$A$11:$M$146,5,FALSE)-AH29</f>
        <v>-0.012299999999868305</v>
      </c>
      <c r="AQ29" s="141">
        <f>VLOOKUP(AA29,'FY 2008 TABLE 15'!$A$11:$M$146,12,FALSE)-AI29</f>
        <v>0</v>
      </c>
      <c r="AR29" s="142">
        <f>VLOOKUP(AA29,'FY 2008 TABLE 15'!$A$11:$M$146,13,FALSE)-AJ29</f>
        <v>0.28919999999925494</v>
      </c>
    </row>
    <row r="30" spans="1:44" ht="21.75" customHeight="1">
      <c r="A30" s="170"/>
      <c r="B30" s="48"/>
      <c r="C30" s="48"/>
      <c r="D30" s="48"/>
      <c r="E30" s="54"/>
      <c r="F30" s="48"/>
      <c r="G30" s="48"/>
      <c r="H30" s="173"/>
      <c r="I30" s="132"/>
      <c r="J30" s="67"/>
      <c r="K30" s="45"/>
      <c r="L30" s="45"/>
      <c r="M30" s="45"/>
      <c r="N30" s="45"/>
      <c r="O30" s="45"/>
      <c r="P30" s="45"/>
      <c r="Q30" s="45"/>
      <c r="R30" s="45"/>
      <c r="S30" s="45"/>
      <c r="T30" s="45"/>
      <c r="U30" s="45"/>
      <c r="V30" s="45"/>
      <c r="W30" s="45"/>
      <c r="X30" s="45"/>
      <c r="Y30" s="45"/>
      <c r="Z30" s="45"/>
      <c r="AA30" s="193">
        <v>29</v>
      </c>
      <c r="AB30" s="194" t="s">
        <v>625</v>
      </c>
      <c r="AC30" s="97">
        <v>301797852.14000005</v>
      </c>
      <c r="AD30" s="97">
        <v>1850</v>
      </c>
      <c r="AE30" s="97">
        <v>86480755.45999996</v>
      </c>
      <c r="AF30" s="97">
        <v>530.1201</v>
      </c>
      <c r="AG30" s="97">
        <v>1675671675.1099997</v>
      </c>
      <c r="AH30" s="97">
        <v>10271.7327</v>
      </c>
      <c r="AI30" s="97">
        <v>2221827353.0899997</v>
      </c>
      <c r="AJ30" s="97">
        <v>13619.6232</v>
      </c>
      <c r="AK30" s="141">
        <f>VLOOKUP(AA30,'FY 2008 TABLE 15'!$A$11:$M$146,6,FALSE)-AC30</f>
        <v>0</v>
      </c>
      <c r="AL30" s="141">
        <f>VLOOKUP(AA30,'FY 2008 TABLE 15'!$A$11:$M$146,7,FALSE)-AD30</f>
        <v>0</v>
      </c>
      <c r="AM30" s="141">
        <f>VLOOKUP(AA30,'FY 2008 TABLE 15'!$A$11:$M$146,10,FALSE)-AE30</f>
        <v>0</v>
      </c>
      <c r="AN30" s="141">
        <f>VLOOKUP(AA30,'FY 2008 TABLE 15'!$A$11:$M$146,11,FALSE)-AF30</f>
        <v>-0.12009999999997945</v>
      </c>
      <c r="AO30" s="141">
        <f>VLOOKUP(AA30,'FY 2008 TABLE 15'!$A$11:$M$146,4,FALSE)-AG30</f>
        <v>0</v>
      </c>
      <c r="AP30" s="141">
        <f>VLOOKUP(AA30,'FY 2008 TABLE 15'!$A$11:$M$146,5,FALSE)-AH30</f>
        <v>0.2672999999995227</v>
      </c>
      <c r="AQ30" s="141">
        <f>VLOOKUP(AA30,'FY 2008 TABLE 15'!$A$11:$M$146,12,FALSE)-AI30</f>
        <v>0</v>
      </c>
      <c r="AR30" s="142">
        <f>VLOOKUP(AA30,'FY 2008 TABLE 15'!$A$11:$M$146,13,FALSE)-AJ30</f>
        <v>0.3768000000000029</v>
      </c>
    </row>
    <row r="31" spans="1:44" ht="15.75">
      <c r="A31" s="239" t="s">
        <v>439</v>
      </c>
      <c r="B31" s="240"/>
      <c r="C31" s="240"/>
      <c r="D31" s="48"/>
      <c r="E31" s="54"/>
      <c r="F31" s="26" t="e">
        <f>VLOOKUP($A$5,'Source Data'!A2:P137,9,FALSE)</f>
        <v>#N/A</v>
      </c>
      <c r="G31" s="48"/>
      <c r="H31" s="173"/>
      <c r="I31" s="132"/>
      <c r="J31" s="67"/>
      <c r="K31" s="45"/>
      <c r="L31" s="45"/>
      <c r="M31" s="45"/>
      <c r="N31" s="45"/>
      <c r="O31" s="45"/>
      <c r="P31" s="45"/>
      <c r="Q31" s="45"/>
      <c r="R31" s="45"/>
      <c r="S31" s="45"/>
      <c r="T31" s="45"/>
      <c r="U31" s="45"/>
      <c r="V31" s="45"/>
      <c r="W31" s="45"/>
      <c r="X31" s="45"/>
      <c r="Y31" s="45"/>
      <c r="Z31" s="45"/>
      <c r="AA31" s="193">
        <v>30</v>
      </c>
      <c r="AB31" s="194" t="s">
        <v>180</v>
      </c>
      <c r="AC31" s="97">
        <v>27364033.01</v>
      </c>
      <c r="AD31" s="97">
        <v>2457</v>
      </c>
      <c r="AE31" s="97">
        <v>4094807.25</v>
      </c>
      <c r="AF31" s="97">
        <v>367.7147</v>
      </c>
      <c r="AG31" s="97">
        <v>78949144.28</v>
      </c>
      <c r="AH31" s="97">
        <v>7089.6534</v>
      </c>
      <c r="AI31" s="97">
        <v>121663565.92</v>
      </c>
      <c r="AJ31" s="97">
        <v>10925.4194</v>
      </c>
      <c r="AK31" s="141">
        <f>VLOOKUP(AA31,'FY 2008 TABLE 15'!$A$11:$M$146,6,FALSE)-AC31</f>
        <v>0</v>
      </c>
      <c r="AL31" s="141">
        <f>VLOOKUP(AA31,'FY 2008 TABLE 15'!$A$11:$M$146,7,FALSE)-AD31</f>
        <v>0</v>
      </c>
      <c r="AM31" s="141">
        <f>VLOOKUP(AA31,'FY 2008 TABLE 15'!$A$11:$M$146,10,FALSE)-AE31</f>
        <v>0</v>
      </c>
      <c r="AN31" s="141">
        <f>VLOOKUP(AA31,'FY 2008 TABLE 15'!$A$11:$M$146,11,FALSE)-AF31</f>
        <v>0.28530000000000655</v>
      </c>
      <c r="AO31" s="141">
        <f>VLOOKUP(AA31,'FY 2008 TABLE 15'!$A$11:$M$146,4,FALSE)-AG31</f>
        <v>0</v>
      </c>
      <c r="AP31" s="141">
        <f>VLOOKUP(AA31,'FY 2008 TABLE 15'!$A$11:$M$146,5,FALSE)-AH31</f>
        <v>0.346599999999853</v>
      </c>
      <c r="AQ31" s="141">
        <f>VLOOKUP(AA31,'FY 2008 TABLE 15'!$A$11:$M$146,12,FALSE)-AI31</f>
        <v>0</v>
      </c>
      <c r="AR31" s="142">
        <f>VLOOKUP(AA31,'FY 2008 TABLE 15'!$A$11:$M$146,13,FALSE)-AJ31</f>
        <v>-0.4194000000006781</v>
      </c>
    </row>
    <row r="32" spans="1:44" ht="6.75" customHeight="1">
      <c r="A32" s="187"/>
      <c r="B32" s="58"/>
      <c r="C32" s="58"/>
      <c r="D32" s="58"/>
      <c r="E32" s="58"/>
      <c r="F32" s="54"/>
      <c r="G32" s="58"/>
      <c r="H32" s="188"/>
      <c r="I32" s="132"/>
      <c r="J32" s="67"/>
      <c r="K32" s="45"/>
      <c r="L32" s="45"/>
      <c r="M32" s="45"/>
      <c r="N32" s="45"/>
      <c r="O32" s="45"/>
      <c r="P32" s="45"/>
      <c r="Q32" s="45"/>
      <c r="R32" s="45"/>
      <c r="S32" s="45"/>
      <c r="T32" s="45"/>
      <c r="U32" s="45"/>
      <c r="V32" s="45"/>
      <c r="W32" s="45"/>
      <c r="X32" s="45"/>
      <c r="Y32" s="45"/>
      <c r="Z32" s="45"/>
      <c r="AA32" s="193">
        <v>31</v>
      </c>
      <c r="AB32" s="194" t="s">
        <v>181</v>
      </c>
      <c r="AC32" s="97">
        <v>9670238.25</v>
      </c>
      <c r="AD32" s="97">
        <v>4741</v>
      </c>
      <c r="AE32" s="97">
        <v>1324553.86</v>
      </c>
      <c r="AF32" s="97">
        <v>649.3302</v>
      </c>
      <c r="AG32" s="97">
        <v>5637023.589999998</v>
      </c>
      <c r="AH32" s="97">
        <v>2763.4134</v>
      </c>
      <c r="AI32" s="97">
        <v>18603096.919999998</v>
      </c>
      <c r="AJ32" s="97">
        <v>9119.7146</v>
      </c>
      <c r="AK32" s="141">
        <f>VLOOKUP(AA32,'FY 2008 TABLE 15'!$A$11:$M$146,6,FALSE)-AC32</f>
        <v>0</v>
      </c>
      <c r="AL32" s="141">
        <f>VLOOKUP(AA32,'FY 2008 TABLE 15'!$A$11:$M$146,7,FALSE)-AD32</f>
        <v>0</v>
      </c>
      <c r="AM32" s="141">
        <f>VLOOKUP(AA32,'FY 2008 TABLE 15'!$A$11:$M$146,10,FALSE)-AE32</f>
        <v>0</v>
      </c>
      <c r="AN32" s="141">
        <f>VLOOKUP(AA32,'FY 2008 TABLE 15'!$A$11:$M$146,11,FALSE)-AF32</f>
        <v>-0.3301999999999907</v>
      </c>
      <c r="AO32" s="141">
        <f>VLOOKUP(AA32,'FY 2008 TABLE 15'!$A$11:$M$146,4,FALSE)-AG32</f>
        <v>0</v>
      </c>
      <c r="AP32" s="141">
        <f>VLOOKUP(AA32,'FY 2008 TABLE 15'!$A$11:$M$146,5,FALSE)-AH32</f>
        <v>-0.4133999999999105</v>
      </c>
      <c r="AQ32" s="141">
        <f>VLOOKUP(AA32,'FY 2008 TABLE 15'!$A$11:$M$146,12,FALSE)-AI32</f>
        <v>0</v>
      </c>
      <c r="AR32" s="142">
        <f>VLOOKUP(AA32,'FY 2008 TABLE 15'!$A$11:$M$146,13,FALSE)-AJ32</f>
        <v>0.28540000000066357</v>
      </c>
    </row>
    <row r="33" spans="1:44" ht="15.75">
      <c r="A33" s="178" t="s">
        <v>7</v>
      </c>
      <c r="B33" s="48"/>
      <c r="C33" s="58"/>
      <c r="D33" s="58"/>
      <c r="E33" s="58"/>
      <c r="F33" s="28" t="e">
        <f>VLOOKUP($A$5,'Source Data'!A2:P137,10,FALSE)</f>
        <v>#N/A</v>
      </c>
      <c r="G33" s="58"/>
      <c r="H33" s="188"/>
      <c r="I33" s="132"/>
      <c r="J33" s="67"/>
      <c r="K33" s="45"/>
      <c r="L33" s="45"/>
      <c r="M33" s="45"/>
      <c r="N33" s="45"/>
      <c r="O33" s="45"/>
      <c r="P33" s="45"/>
      <c r="Q33" s="45"/>
      <c r="R33" s="45"/>
      <c r="S33" s="45"/>
      <c r="T33" s="45"/>
      <c r="U33" s="45"/>
      <c r="V33" s="45"/>
      <c r="W33" s="45"/>
      <c r="X33" s="45"/>
      <c r="Y33" s="45"/>
      <c r="Z33" s="45"/>
      <c r="AA33" s="193">
        <v>32</v>
      </c>
      <c r="AB33" s="194" t="s">
        <v>182</v>
      </c>
      <c r="AC33" s="97">
        <v>15126548.37</v>
      </c>
      <c r="AD33" s="97">
        <v>4130</v>
      </c>
      <c r="AE33" s="97">
        <v>1699271.87</v>
      </c>
      <c r="AF33" s="97">
        <v>463.9461</v>
      </c>
      <c r="AG33" s="97">
        <v>14024239.030000005</v>
      </c>
      <c r="AH33" s="97">
        <v>3828.9874</v>
      </c>
      <c r="AI33" s="97">
        <v>33881908.35</v>
      </c>
      <c r="AJ33" s="97">
        <v>9250.6551</v>
      </c>
      <c r="AK33" s="141">
        <f>VLOOKUP(AA33,'FY 2008 TABLE 15'!$A$11:$M$146,6,FALSE)-AC33</f>
        <v>0</v>
      </c>
      <c r="AL33" s="141">
        <f>VLOOKUP(AA33,'FY 2008 TABLE 15'!$A$11:$M$146,7,FALSE)-AD33</f>
        <v>0</v>
      </c>
      <c r="AM33" s="141">
        <f>VLOOKUP(AA33,'FY 2008 TABLE 15'!$A$11:$M$146,10,FALSE)-AE33</f>
        <v>0</v>
      </c>
      <c r="AN33" s="141">
        <f>VLOOKUP(AA33,'FY 2008 TABLE 15'!$A$11:$M$146,11,FALSE)-AF33</f>
        <v>0.05389999999999873</v>
      </c>
      <c r="AO33" s="141">
        <f>VLOOKUP(AA33,'FY 2008 TABLE 15'!$A$11:$M$146,4,FALSE)-AG33</f>
        <v>0</v>
      </c>
      <c r="AP33" s="141">
        <f>VLOOKUP(AA33,'FY 2008 TABLE 15'!$A$11:$M$146,5,FALSE)-AH33</f>
        <v>0.012600000000020373</v>
      </c>
      <c r="AQ33" s="141">
        <f>VLOOKUP(AA33,'FY 2008 TABLE 15'!$A$11:$M$146,12,FALSE)-AI33</f>
        <v>0</v>
      </c>
      <c r="AR33" s="142">
        <f>VLOOKUP(AA33,'FY 2008 TABLE 15'!$A$11:$M$146,13,FALSE)-AJ33</f>
        <v>0.3449000000000524</v>
      </c>
    </row>
    <row r="34" spans="1:44" ht="6.75" customHeight="1">
      <c r="A34" s="178"/>
      <c r="B34" s="48"/>
      <c r="C34" s="58"/>
      <c r="D34" s="58"/>
      <c r="E34" s="58"/>
      <c r="F34" s="54"/>
      <c r="G34" s="58"/>
      <c r="H34" s="188"/>
      <c r="I34" s="132"/>
      <c r="J34" s="67"/>
      <c r="K34" s="45"/>
      <c r="L34" s="45"/>
      <c r="M34" s="45"/>
      <c r="N34" s="45"/>
      <c r="O34" s="45"/>
      <c r="P34" s="45"/>
      <c r="Q34" s="45"/>
      <c r="R34" s="45"/>
      <c r="S34" s="45"/>
      <c r="T34" s="45"/>
      <c r="U34" s="45"/>
      <c r="V34" s="45"/>
      <c r="W34" s="45"/>
      <c r="X34" s="45"/>
      <c r="Y34" s="45"/>
      <c r="Z34" s="45"/>
      <c r="AA34" s="193">
        <v>33</v>
      </c>
      <c r="AB34" s="194" t="s">
        <v>183</v>
      </c>
      <c r="AC34" s="97">
        <v>30905998.06</v>
      </c>
      <c r="AD34" s="97">
        <v>4252</v>
      </c>
      <c r="AE34" s="97">
        <v>5879413.579999998</v>
      </c>
      <c r="AF34" s="97">
        <v>808.8147</v>
      </c>
      <c r="AG34" s="97">
        <v>26075961.17000001</v>
      </c>
      <c r="AH34" s="97">
        <v>3587.1982</v>
      </c>
      <c r="AI34" s="97">
        <v>70073697.57000001</v>
      </c>
      <c r="AJ34" s="97">
        <v>9639.8458</v>
      </c>
      <c r="AK34" s="141">
        <f>VLOOKUP(AA34,'FY 2008 TABLE 15'!$A$11:$M$146,6,FALSE)-AC34</f>
        <v>0</v>
      </c>
      <c r="AL34" s="141">
        <f>VLOOKUP(AA34,'FY 2008 TABLE 15'!$A$11:$M$146,7,FALSE)-AD34</f>
        <v>0</v>
      </c>
      <c r="AM34" s="141">
        <f>VLOOKUP(AA34,'FY 2008 TABLE 15'!$A$11:$M$146,10,FALSE)-AE34</f>
        <v>0</v>
      </c>
      <c r="AN34" s="141">
        <f>VLOOKUP(AA34,'FY 2008 TABLE 15'!$A$11:$M$146,11,FALSE)-AF34</f>
        <v>0.1852999999999838</v>
      </c>
      <c r="AO34" s="141">
        <f>VLOOKUP(AA34,'FY 2008 TABLE 15'!$A$11:$M$146,4,FALSE)-AG34</f>
        <v>0</v>
      </c>
      <c r="AP34" s="141">
        <f>VLOOKUP(AA34,'FY 2008 TABLE 15'!$A$11:$M$146,5,FALSE)-AH34</f>
        <v>-0.1981999999998152</v>
      </c>
      <c r="AQ34" s="141">
        <f>VLOOKUP(AA34,'FY 2008 TABLE 15'!$A$11:$M$146,12,FALSE)-AI34</f>
        <v>0</v>
      </c>
      <c r="AR34" s="142">
        <f>VLOOKUP(AA34,'FY 2008 TABLE 15'!$A$11:$M$146,13,FALSE)-AJ34</f>
        <v>0.15420000000085565</v>
      </c>
    </row>
    <row r="35" spans="1:44" ht="15.75">
      <c r="A35" s="178" t="s">
        <v>8</v>
      </c>
      <c r="B35" s="48"/>
      <c r="C35" s="58"/>
      <c r="D35" s="58"/>
      <c r="E35" s="58"/>
      <c r="F35" s="26" t="e">
        <f>VLOOKUP($A$5,'Source Data'!A2:P137,11,FALSE)</f>
        <v>#N/A</v>
      </c>
      <c r="G35" s="58"/>
      <c r="H35" s="188"/>
      <c r="I35" s="132"/>
      <c r="J35" s="67"/>
      <c r="K35" s="45"/>
      <c r="L35" s="45"/>
      <c r="M35" s="45"/>
      <c r="N35" s="45"/>
      <c r="O35" s="45"/>
      <c r="P35" s="45"/>
      <c r="Q35" s="45"/>
      <c r="R35" s="45"/>
      <c r="S35" s="45"/>
      <c r="T35" s="45"/>
      <c r="U35" s="45"/>
      <c r="V35" s="45"/>
      <c r="W35" s="45"/>
      <c r="X35" s="45"/>
      <c r="Y35" s="45"/>
      <c r="Z35" s="45"/>
      <c r="AA35" s="193">
        <v>34</v>
      </c>
      <c r="AB35" s="194" t="s">
        <v>184</v>
      </c>
      <c r="AC35" s="97">
        <v>53508079.57</v>
      </c>
      <c r="AD35" s="97">
        <v>4184</v>
      </c>
      <c r="AE35" s="97">
        <v>5187294.63</v>
      </c>
      <c r="AF35" s="97">
        <v>405.5911</v>
      </c>
      <c r="AG35" s="97">
        <v>62053714.96999999</v>
      </c>
      <c r="AH35" s="97">
        <v>4851.9385</v>
      </c>
      <c r="AI35" s="97">
        <v>131532300.04</v>
      </c>
      <c r="AJ35" s="97">
        <v>10284.4226</v>
      </c>
      <c r="AK35" s="141">
        <f>VLOOKUP(AA35,'FY 2008 TABLE 15'!$A$11:$M$146,6,FALSE)-AC35</f>
        <v>0</v>
      </c>
      <c r="AL35" s="141">
        <f>VLOOKUP(AA35,'FY 2008 TABLE 15'!$A$11:$M$146,7,FALSE)-AD35</f>
        <v>0</v>
      </c>
      <c r="AM35" s="141">
        <f>VLOOKUP(AA35,'FY 2008 TABLE 15'!$A$11:$M$146,10,FALSE)-AE35</f>
        <v>0</v>
      </c>
      <c r="AN35" s="141">
        <f>VLOOKUP(AA35,'FY 2008 TABLE 15'!$A$11:$M$146,11,FALSE)-AF35</f>
        <v>0.4089000000000169</v>
      </c>
      <c r="AO35" s="141">
        <f>VLOOKUP(AA35,'FY 2008 TABLE 15'!$A$11:$M$146,4,FALSE)-AG35</f>
        <v>0</v>
      </c>
      <c r="AP35" s="141">
        <f>VLOOKUP(AA35,'FY 2008 TABLE 15'!$A$11:$M$146,5,FALSE)-AH35</f>
        <v>0.06149999999979627</v>
      </c>
      <c r="AQ35" s="141">
        <f>VLOOKUP(AA35,'FY 2008 TABLE 15'!$A$11:$M$146,12,FALSE)-AI35</f>
        <v>0</v>
      </c>
      <c r="AR35" s="142">
        <f>VLOOKUP(AA35,'FY 2008 TABLE 15'!$A$11:$M$146,13,FALSE)-AJ35</f>
        <v>-0.42259999999987485</v>
      </c>
    </row>
    <row r="36" spans="1:44" ht="6.75" customHeight="1">
      <c r="A36" s="178"/>
      <c r="B36" s="48"/>
      <c r="C36" s="58"/>
      <c r="D36" s="58"/>
      <c r="E36" s="58"/>
      <c r="F36" s="54"/>
      <c r="G36" s="58"/>
      <c r="H36" s="188"/>
      <c r="I36" s="132"/>
      <c r="J36" s="67"/>
      <c r="K36" s="45"/>
      <c r="L36" s="45"/>
      <c r="M36" s="45"/>
      <c r="N36" s="45"/>
      <c r="O36" s="45"/>
      <c r="P36" s="45"/>
      <c r="Q36" s="45"/>
      <c r="R36" s="45"/>
      <c r="S36" s="45"/>
      <c r="T36" s="45"/>
      <c r="U36" s="45"/>
      <c r="V36" s="45"/>
      <c r="W36" s="45"/>
      <c r="X36" s="45"/>
      <c r="Y36" s="45"/>
      <c r="Z36" s="45"/>
      <c r="AA36" s="193">
        <v>35</v>
      </c>
      <c r="AB36" s="194" t="s">
        <v>185</v>
      </c>
      <c r="AC36" s="97">
        <v>12866818.43</v>
      </c>
      <c r="AD36" s="97">
        <v>5087</v>
      </c>
      <c r="AE36" s="97">
        <v>1487314.26</v>
      </c>
      <c r="AF36" s="97">
        <v>587.9811</v>
      </c>
      <c r="AG36" s="97">
        <v>6492395.060000001</v>
      </c>
      <c r="AH36" s="97">
        <v>2566.6435</v>
      </c>
      <c r="AI36" s="97">
        <v>23242452.71</v>
      </c>
      <c r="AJ36" s="97">
        <v>9188.4565</v>
      </c>
      <c r="AK36" s="141">
        <f>VLOOKUP(AA36,'FY 2008 TABLE 15'!$A$11:$M$146,6,FALSE)-AC36</f>
        <v>0</v>
      </c>
      <c r="AL36" s="141">
        <f>VLOOKUP(AA36,'FY 2008 TABLE 15'!$A$11:$M$146,7,FALSE)-AD36</f>
        <v>0</v>
      </c>
      <c r="AM36" s="141">
        <f>VLOOKUP(AA36,'FY 2008 TABLE 15'!$A$11:$M$146,10,FALSE)-AE36</f>
        <v>0</v>
      </c>
      <c r="AN36" s="141">
        <f>VLOOKUP(AA36,'FY 2008 TABLE 15'!$A$11:$M$146,11,FALSE)-AF36</f>
        <v>0.01890000000003056</v>
      </c>
      <c r="AO36" s="141">
        <f>VLOOKUP(AA36,'FY 2008 TABLE 15'!$A$11:$M$146,4,FALSE)-AG36</f>
        <v>0</v>
      </c>
      <c r="AP36" s="141">
        <f>VLOOKUP(AA36,'FY 2008 TABLE 15'!$A$11:$M$146,5,FALSE)-AH36</f>
        <v>0.35649999999986903</v>
      </c>
      <c r="AQ36" s="141">
        <f>VLOOKUP(AA36,'FY 2008 TABLE 15'!$A$11:$M$146,12,FALSE)-AI36</f>
        <v>0</v>
      </c>
      <c r="AR36" s="142">
        <f>VLOOKUP(AA36,'FY 2008 TABLE 15'!$A$11:$M$146,13,FALSE)-AJ36</f>
        <v>-0.45650000000023283</v>
      </c>
    </row>
    <row r="37" spans="1:44" ht="15.75">
      <c r="A37" s="178" t="s">
        <v>614</v>
      </c>
      <c r="B37" s="48"/>
      <c r="C37" s="58"/>
      <c r="D37" s="58"/>
      <c r="E37" s="58"/>
      <c r="F37" s="26" t="e">
        <f>VLOOKUP($A$5,'Source Data'!A2:P137,12,FALSE)</f>
        <v>#N/A</v>
      </c>
      <c r="G37" s="58"/>
      <c r="H37" s="188"/>
      <c r="I37" s="132"/>
      <c r="J37" s="67"/>
      <c r="K37" s="45"/>
      <c r="L37" s="45"/>
      <c r="M37" s="45"/>
      <c r="N37" s="45"/>
      <c r="O37" s="45"/>
      <c r="P37" s="45"/>
      <c r="Q37" s="45"/>
      <c r="R37" s="45"/>
      <c r="S37" s="45"/>
      <c r="T37" s="45"/>
      <c r="U37" s="45"/>
      <c r="V37" s="45"/>
      <c r="W37" s="45"/>
      <c r="X37" s="45"/>
      <c r="Y37" s="45"/>
      <c r="Z37" s="45"/>
      <c r="AA37" s="193">
        <v>36</v>
      </c>
      <c r="AB37" s="194" t="s">
        <v>186</v>
      </c>
      <c r="AC37" s="97">
        <v>25615554.96</v>
      </c>
      <c r="AD37" s="97">
        <v>4322</v>
      </c>
      <c r="AE37" s="97">
        <v>3366369.07</v>
      </c>
      <c r="AF37" s="97">
        <v>567.9463</v>
      </c>
      <c r="AG37" s="97">
        <v>23298053.55</v>
      </c>
      <c r="AH37" s="97">
        <v>3930.6573</v>
      </c>
      <c r="AI37" s="97">
        <v>58283728.7</v>
      </c>
      <c r="AJ37" s="97">
        <v>9833.1548</v>
      </c>
      <c r="AK37" s="141">
        <f>VLOOKUP(AA37,'FY 2008 TABLE 15'!$A$11:$M$146,6,FALSE)-AC37</f>
        <v>0</v>
      </c>
      <c r="AL37" s="141">
        <f>VLOOKUP(AA37,'FY 2008 TABLE 15'!$A$11:$M$146,7,FALSE)-AD37</f>
        <v>0</v>
      </c>
      <c r="AM37" s="141">
        <f>VLOOKUP(AA37,'FY 2008 TABLE 15'!$A$11:$M$146,10,FALSE)-AE37</f>
        <v>0</v>
      </c>
      <c r="AN37" s="141">
        <f>VLOOKUP(AA37,'FY 2008 TABLE 15'!$A$11:$M$146,11,FALSE)-AF37</f>
        <v>0.05370000000004893</v>
      </c>
      <c r="AO37" s="141">
        <f>VLOOKUP(AA37,'FY 2008 TABLE 15'!$A$11:$M$146,4,FALSE)-AG37</f>
        <v>0</v>
      </c>
      <c r="AP37" s="141">
        <f>VLOOKUP(AA37,'FY 2008 TABLE 15'!$A$11:$M$146,5,FALSE)-AH37</f>
        <v>0.3427000000001499</v>
      </c>
      <c r="AQ37" s="141">
        <f>VLOOKUP(AA37,'FY 2008 TABLE 15'!$A$11:$M$146,12,FALSE)-AI37</f>
        <v>0</v>
      </c>
      <c r="AR37" s="142">
        <f>VLOOKUP(AA37,'FY 2008 TABLE 15'!$A$11:$M$146,13,FALSE)-AJ37</f>
        <v>-0.1548000000002503</v>
      </c>
    </row>
    <row r="38" spans="1:44" ht="6.75" customHeight="1">
      <c r="A38" s="170"/>
      <c r="B38" s="48"/>
      <c r="C38" s="58"/>
      <c r="D38" s="58"/>
      <c r="E38" s="58"/>
      <c r="F38" s="58"/>
      <c r="G38" s="58"/>
      <c r="H38" s="188"/>
      <c r="I38" s="132"/>
      <c r="J38" s="67"/>
      <c r="K38" s="45"/>
      <c r="L38" s="45"/>
      <c r="M38" s="45"/>
      <c r="N38" s="45"/>
      <c r="O38" s="45"/>
      <c r="P38" s="45"/>
      <c r="Q38" s="45"/>
      <c r="R38" s="45"/>
      <c r="S38" s="45"/>
      <c r="T38" s="45"/>
      <c r="U38" s="45"/>
      <c r="V38" s="45"/>
      <c r="W38" s="45"/>
      <c r="X38" s="45"/>
      <c r="Y38" s="45"/>
      <c r="Z38" s="45"/>
      <c r="AA38" s="193">
        <v>37</v>
      </c>
      <c r="AB38" s="194" t="s">
        <v>187</v>
      </c>
      <c r="AC38" s="97">
        <v>3336016.92</v>
      </c>
      <c r="AD38" s="97">
        <v>1409</v>
      </c>
      <c r="AE38" s="97">
        <v>1096504.71</v>
      </c>
      <c r="AF38" s="97">
        <v>463.267</v>
      </c>
      <c r="AG38" s="97">
        <v>18548698.429999996</v>
      </c>
      <c r="AH38" s="97">
        <v>7836.719</v>
      </c>
      <c r="AI38" s="97">
        <v>25074363.29</v>
      </c>
      <c r="AJ38" s="97">
        <v>10593.775</v>
      </c>
      <c r="AK38" s="141">
        <f>VLOOKUP(AA38,'FY 2008 TABLE 15'!$A$11:$M$146,6,FALSE)-AC38</f>
        <v>0</v>
      </c>
      <c r="AL38" s="141">
        <f>VLOOKUP(AA38,'FY 2008 TABLE 15'!$A$11:$M$146,7,FALSE)-AD38</f>
        <v>0</v>
      </c>
      <c r="AM38" s="141">
        <f>VLOOKUP(AA38,'FY 2008 TABLE 15'!$A$11:$M$146,10,FALSE)-AE38</f>
        <v>0</v>
      </c>
      <c r="AN38" s="141">
        <f>VLOOKUP(AA38,'FY 2008 TABLE 15'!$A$11:$M$146,11,FALSE)-AF38</f>
        <v>-0.2669999999999959</v>
      </c>
      <c r="AO38" s="141">
        <f>VLOOKUP(AA38,'FY 2008 TABLE 15'!$A$11:$M$146,4,FALSE)-AG38</f>
        <v>0</v>
      </c>
      <c r="AP38" s="141">
        <f>VLOOKUP(AA38,'FY 2008 TABLE 15'!$A$11:$M$146,5,FALSE)-AH38</f>
        <v>0.28099999999994907</v>
      </c>
      <c r="AQ38" s="141">
        <f>VLOOKUP(AA38,'FY 2008 TABLE 15'!$A$11:$M$146,12,FALSE)-AI38</f>
        <v>0</v>
      </c>
      <c r="AR38" s="142">
        <f>VLOOKUP(AA38,'FY 2008 TABLE 15'!$A$11:$M$146,13,FALSE)-AJ38</f>
        <v>0.2250000000003638</v>
      </c>
    </row>
    <row r="39" spans="1:44" ht="15.75">
      <c r="A39" s="180" t="s">
        <v>437</v>
      </c>
      <c r="B39" s="48"/>
      <c r="C39" s="58"/>
      <c r="D39" s="58"/>
      <c r="E39" s="58"/>
      <c r="F39" s="6" t="e">
        <f>F31+F33-F35-F37</f>
        <v>#N/A</v>
      </c>
      <c r="G39" s="58"/>
      <c r="H39" s="188"/>
      <c r="I39" s="132"/>
      <c r="J39" s="67"/>
      <c r="K39" s="45"/>
      <c r="L39" s="45"/>
      <c r="M39" s="45"/>
      <c r="N39" s="45"/>
      <c r="O39" s="45"/>
      <c r="P39" s="45"/>
      <c r="Q39" s="45"/>
      <c r="R39" s="45"/>
      <c r="S39" s="45"/>
      <c r="T39" s="45"/>
      <c r="U39" s="45"/>
      <c r="V39" s="45"/>
      <c r="W39" s="45"/>
      <c r="X39" s="45"/>
      <c r="Y39" s="45"/>
      <c r="Z39" s="45"/>
      <c r="AA39" s="193">
        <v>38</v>
      </c>
      <c r="AB39" s="194" t="s">
        <v>188</v>
      </c>
      <c r="AC39" s="97">
        <v>11384785.200000001</v>
      </c>
      <c r="AD39" s="97">
        <v>5527</v>
      </c>
      <c r="AE39" s="97">
        <v>1799999</v>
      </c>
      <c r="AF39" s="97">
        <v>873.8307</v>
      </c>
      <c r="AG39" s="97">
        <v>5070951.27</v>
      </c>
      <c r="AH39" s="97">
        <v>2461.7529</v>
      </c>
      <c r="AI39" s="97">
        <v>20413176.090000004</v>
      </c>
      <c r="AJ39" s="97">
        <v>9909.8164</v>
      </c>
      <c r="AK39" s="141">
        <f>VLOOKUP(AA39,'FY 2008 TABLE 15'!$A$11:$M$146,6,FALSE)-AC39</f>
        <v>0</v>
      </c>
      <c r="AL39" s="141">
        <f>VLOOKUP(AA39,'FY 2008 TABLE 15'!$A$11:$M$146,7,FALSE)-AD39</f>
        <v>0</v>
      </c>
      <c r="AM39" s="141">
        <f>VLOOKUP(AA39,'FY 2008 TABLE 15'!$A$11:$M$146,10,FALSE)-AE39</f>
        <v>0</v>
      </c>
      <c r="AN39" s="141">
        <f>VLOOKUP(AA39,'FY 2008 TABLE 15'!$A$11:$M$146,11,FALSE)-AF39</f>
        <v>0.1693000000000211</v>
      </c>
      <c r="AO39" s="141">
        <f>VLOOKUP(AA39,'FY 2008 TABLE 15'!$A$11:$M$146,4,FALSE)-AG39</f>
        <v>0</v>
      </c>
      <c r="AP39" s="141">
        <f>VLOOKUP(AA39,'FY 2008 TABLE 15'!$A$11:$M$146,5,FALSE)-AH39</f>
        <v>0.24710000000004584</v>
      </c>
      <c r="AQ39" s="141">
        <f>VLOOKUP(AA39,'FY 2008 TABLE 15'!$A$11:$M$146,12,FALSE)-AI39</f>
        <v>0</v>
      </c>
      <c r="AR39" s="142">
        <f>VLOOKUP(AA39,'FY 2008 TABLE 15'!$A$11:$M$146,13,FALSE)-AJ39</f>
        <v>0.18360000000029686</v>
      </c>
    </row>
    <row r="40" spans="1:44" ht="6.75" customHeight="1">
      <c r="A40" s="170"/>
      <c r="B40" s="48"/>
      <c r="C40" s="58"/>
      <c r="D40" s="58"/>
      <c r="E40" s="58"/>
      <c r="F40" s="58"/>
      <c r="G40" s="58"/>
      <c r="H40" s="188"/>
      <c r="I40" s="132"/>
      <c r="J40" s="67"/>
      <c r="K40" s="45"/>
      <c r="L40" s="45"/>
      <c r="M40" s="45"/>
      <c r="N40" s="45"/>
      <c r="O40" s="45"/>
      <c r="P40" s="45"/>
      <c r="Q40" s="45"/>
      <c r="R40" s="45"/>
      <c r="S40" s="45"/>
      <c r="T40" s="45"/>
      <c r="U40" s="45"/>
      <c r="V40" s="45"/>
      <c r="W40" s="45"/>
      <c r="X40" s="45"/>
      <c r="Y40" s="45"/>
      <c r="Z40" s="45"/>
      <c r="AA40" s="193">
        <v>39</v>
      </c>
      <c r="AB40" s="194" t="s">
        <v>189</v>
      </c>
      <c r="AC40" s="97">
        <v>12900033.129999999</v>
      </c>
      <c r="AD40" s="97">
        <v>4699</v>
      </c>
      <c r="AE40" s="97">
        <v>1542899.03</v>
      </c>
      <c r="AF40" s="97">
        <v>562.0773</v>
      </c>
      <c r="AG40" s="97">
        <v>9906112.930000002</v>
      </c>
      <c r="AH40" s="97">
        <v>3608.7919</v>
      </c>
      <c r="AI40" s="97">
        <v>26845639.13</v>
      </c>
      <c r="AJ40" s="97">
        <v>9779.8528</v>
      </c>
      <c r="AK40" s="141">
        <f>VLOOKUP(AA40,'FY 2008 TABLE 15'!$A$11:$M$146,6,FALSE)-AC40</f>
        <v>0</v>
      </c>
      <c r="AL40" s="141">
        <f>VLOOKUP(AA40,'FY 2008 TABLE 15'!$A$11:$M$146,7,FALSE)-AD40</f>
        <v>0</v>
      </c>
      <c r="AM40" s="141">
        <f>VLOOKUP(AA40,'FY 2008 TABLE 15'!$A$11:$M$146,10,FALSE)-AE40</f>
        <v>0</v>
      </c>
      <c r="AN40" s="141">
        <f>VLOOKUP(AA40,'FY 2008 TABLE 15'!$A$11:$M$146,11,FALSE)-AF40</f>
        <v>-0.07730000000003656</v>
      </c>
      <c r="AO40" s="141">
        <f>VLOOKUP(AA40,'FY 2008 TABLE 15'!$A$11:$M$146,4,FALSE)-AG40</f>
        <v>0</v>
      </c>
      <c r="AP40" s="141">
        <f>VLOOKUP(AA40,'FY 2008 TABLE 15'!$A$11:$M$146,5,FALSE)-AH40</f>
        <v>0.2080999999998312</v>
      </c>
      <c r="AQ40" s="141">
        <f>VLOOKUP(AA40,'FY 2008 TABLE 15'!$A$11:$M$146,12,FALSE)-AI40</f>
        <v>0</v>
      </c>
      <c r="AR40" s="142">
        <f>VLOOKUP(AA40,'FY 2008 TABLE 15'!$A$11:$M$146,13,FALSE)-AJ40</f>
        <v>0.14719999999942956</v>
      </c>
    </row>
    <row r="41" spans="1:44" ht="15.75">
      <c r="A41" s="186" t="s">
        <v>436</v>
      </c>
      <c r="B41" s="56"/>
      <c r="C41" s="58"/>
      <c r="D41" s="58"/>
      <c r="E41" s="58"/>
      <c r="F41" s="58"/>
      <c r="G41" s="58"/>
      <c r="H41" s="213" t="e">
        <f>(F39/$F$51)</f>
        <v>#N/A</v>
      </c>
      <c r="I41" s="132" t="e">
        <f>VLOOKUP($A$5,'FY 2008 TABLE 15'!A11:M146,11,FALSE)</f>
        <v>#N/A</v>
      </c>
      <c r="J41" s="67" t="e">
        <f>IF(H41=I41,"OK","???")</f>
        <v>#N/A</v>
      </c>
      <c r="K41" s="45"/>
      <c r="L41" s="45"/>
      <c r="M41" s="45"/>
      <c r="N41" s="45"/>
      <c r="O41" s="45"/>
      <c r="P41" s="45"/>
      <c r="Q41" s="45"/>
      <c r="R41" s="45"/>
      <c r="S41" s="45"/>
      <c r="T41" s="45"/>
      <c r="U41" s="45"/>
      <c r="V41" s="45"/>
      <c r="W41" s="45"/>
      <c r="X41" s="45"/>
      <c r="Y41" s="45"/>
      <c r="Z41" s="45"/>
      <c r="AA41" s="193">
        <v>40</v>
      </c>
      <c r="AB41" s="194" t="s">
        <v>626</v>
      </c>
      <c r="AC41" s="97">
        <v>14608123.86</v>
      </c>
      <c r="AD41" s="97">
        <v>5760</v>
      </c>
      <c r="AE41" s="97">
        <v>3418327.24</v>
      </c>
      <c r="AF41" s="97">
        <v>1347.8146</v>
      </c>
      <c r="AG41" s="97">
        <v>6017905.120000003</v>
      </c>
      <c r="AH41" s="97">
        <v>2372.8039</v>
      </c>
      <c r="AI41" s="97">
        <v>26373279.740000002</v>
      </c>
      <c r="AJ41" s="97">
        <v>10398.7383</v>
      </c>
      <c r="AK41" s="141">
        <f>VLOOKUP(AA41,'FY 2008 TABLE 15'!$A$11:$M$146,6,FALSE)-AC41</f>
        <v>0</v>
      </c>
      <c r="AL41" s="141">
        <f>VLOOKUP(AA41,'FY 2008 TABLE 15'!$A$11:$M$146,7,FALSE)-AD41</f>
        <v>0</v>
      </c>
      <c r="AM41" s="141">
        <f>VLOOKUP(AA41,'FY 2008 TABLE 15'!$A$11:$M$146,10,FALSE)-AE41</f>
        <v>0</v>
      </c>
      <c r="AN41" s="141">
        <f>VLOOKUP(AA41,'FY 2008 TABLE 15'!$A$11:$M$146,11,FALSE)-AF41</f>
        <v>0.1854000000000724</v>
      </c>
      <c r="AO41" s="141">
        <f>VLOOKUP(AA41,'FY 2008 TABLE 15'!$A$11:$M$146,4,FALSE)-AG41</f>
        <v>0</v>
      </c>
      <c r="AP41" s="141">
        <f>VLOOKUP(AA41,'FY 2008 TABLE 15'!$A$11:$M$146,5,FALSE)-AH41</f>
        <v>0.19610000000011496</v>
      </c>
      <c r="AQ41" s="141">
        <f>VLOOKUP(AA41,'FY 2008 TABLE 15'!$A$11:$M$146,12,FALSE)-AI41</f>
        <v>0</v>
      </c>
      <c r="AR41" s="142">
        <f>VLOOKUP(AA41,'FY 2008 TABLE 15'!$A$11:$M$146,13,FALSE)-AJ41</f>
        <v>0.2616999999991094</v>
      </c>
    </row>
    <row r="42" spans="1:44" ht="21.75" customHeight="1">
      <c r="A42" s="187"/>
      <c r="B42" s="58"/>
      <c r="C42" s="58"/>
      <c r="D42" s="58"/>
      <c r="E42" s="58"/>
      <c r="F42" s="58"/>
      <c r="G42" s="58"/>
      <c r="H42" s="188"/>
      <c r="I42" s="132"/>
      <c r="J42" s="67"/>
      <c r="K42" s="45"/>
      <c r="L42" s="45"/>
      <c r="M42" s="45"/>
      <c r="N42" s="45"/>
      <c r="O42" s="45"/>
      <c r="P42" s="45"/>
      <c r="Q42" s="45"/>
      <c r="R42" s="45"/>
      <c r="S42" s="45"/>
      <c r="T42" s="45"/>
      <c r="U42" s="45"/>
      <c r="V42" s="45"/>
      <c r="W42" s="45"/>
      <c r="X42" s="45"/>
      <c r="Y42" s="45"/>
      <c r="Z42" s="45"/>
      <c r="AA42" s="193">
        <v>41</v>
      </c>
      <c r="AB42" s="194" t="s">
        <v>190</v>
      </c>
      <c r="AC42" s="97">
        <v>33289263.66</v>
      </c>
      <c r="AD42" s="97">
        <v>5777</v>
      </c>
      <c r="AE42" s="97">
        <v>5432158.110000001</v>
      </c>
      <c r="AF42" s="97">
        <v>942.7539</v>
      </c>
      <c r="AG42" s="97">
        <v>15846303.369999995</v>
      </c>
      <c r="AH42" s="97">
        <v>2750.1343</v>
      </c>
      <c r="AI42" s="97">
        <v>60235931.08</v>
      </c>
      <c r="AJ42" s="97">
        <v>10453.9774</v>
      </c>
      <c r="AK42" s="141">
        <f>VLOOKUP(AA42,'FY 2008 TABLE 15'!$A$11:$M$146,6,FALSE)-AC42</f>
        <v>0</v>
      </c>
      <c r="AL42" s="141">
        <f>VLOOKUP(AA42,'FY 2008 TABLE 15'!$A$11:$M$146,7,FALSE)-AD42</f>
        <v>0</v>
      </c>
      <c r="AM42" s="141">
        <f>VLOOKUP(AA42,'FY 2008 TABLE 15'!$A$11:$M$146,10,FALSE)-AE42</f>
        <v>0</v>
      </c>
      <c r="AN42" s="141">
        <f>VLOOKUP(AA42,'FY 2008 TABLE 15'!$A$11:$M$146,11,FALSE)-AF42</f>
        <v>0.2460999999999558</v>
      </c>
      <c r="AO42" s="141">
        <f>VLOOKUP(AA42,'FY 2008 TABLE 15'!$A$11:$M$146,4,FALSE)-AG42</f>
        <v>0</v>
      </c>
      <c r="AP42" s="141">
        <f>VLOOKUP(AA42,'FY 2008 TABLE 15'!$A$11:$M$146,5,FALSE)-AH42</f>
        <v>-0.13430000000016662</v>
      </c>
      <c r="AQ42" s="141">
        <f>VLOOKUP(AA42,'FY 2008 TABLE 15'!$A$11:$M$146,12,FALSE)-AI42</f>
        <v>0</v>
      </c>
      <c r="AR42" s="142">
        <f>VLOOKUP(AA42,'FY 2008 TABLE 15'!$A$11:$M$146,13,FALSE)-AJ42</f>
        <v>0.02260000000023865</v>
      </c>
    </row>
    <row r="43" spans="1:44" ht="15.75">
      <c r="A43" s="170" t="s">
        <v>283</v>
      </c>
      <c r="B43" s="58"/>
      <c r="C43" s="58"/>
      <c r="D43" s="58"/>
      <c r="E43" s="58"/>
      <c r="F43" s="6" t="e">
        <f>H12-F23-F27-F39</f>
        <v>#N/A</v>
      </c>
      <c r="G43" s="58"/>
      <c r="H43" s="188"/>
      <c r="I43" s="132"/>
      <c r="J43" s="67"/>
      <c r="K43" s="45"/>
      <c r="L43" s="45"/>
      <c r="M43" s="45"/>
      <c r="N43" s="45"/>
      <c r="O43" s="45"/>
      <c r="P43" s="45"/>
      <c r="Q43" s="45"/>
      <c r="R43" s="45"/>
      <c r="S43" s="45"/>
      <c r="T43" s="45"/>
      <c r="U43" s="45"/>
      <c r="V43" s="45"/>
      <c r="W43" s="45"/>
      <c r="X43" s="45"/>
      <c r="Y43" s="45"/>
      <c r="Z43" s="45"/>
      <c r="AA43" s="193">
        <v>42</v>
      </c>
      <c r="AB43" s="194" t="s">
        <v>191</v>
      </c>
      <c r="AC43" s="97">
        <v>66572818.3</v>
      </c>
      <c r="AD43" s="97">
        <v>3549</v>
      </c>
      <c r="AE43" s="97">
        <v>6610249.570000001</v>
      </c>
      <c r="AF43" s="97">
        <v>352.4348</v>
      </c>
      <c r="AG43" s="97">
        <v>82082425.08999999</v>
      </c>
      <c r="AH43" s="97">
        <v>4376.3405</v>
      </c>
      <c r="AI43" s="97">
        <v>172397053.1</v>
      </c>
      <c r="AJ43" s="97">
        <v>9191.5925</v>
      </c>
      <c r="AK43" s="141">
        <f>VLOOKUP(AA43,'FY 2008 TABLE 15'!$A$11:$M$146,6,FALSE)-AC43</f>
        <v>0</v>
      </c>
      <c r="AL43" s="141">
        <f>VLOOKUP(AA43,'FY 2008 TABLE 15'!$A$11:$M$146,7,FALSE)-AD43</f>
        <v>0</v>
      </c>
      <c r="AM43" s="141">
        <f>VLOOKUP(AA43,'FY 2008 TABLE 15'!$A$11:$M$146,10,FALSE)-AE43</f>
        <v>0</v>
      </c>
      <c r="AN43" s="141">
        <f>VLOOKUP(AA43,'FY 2008 TABLE 15'!$A$11:$M$146,11,FALSE)-AF43</f>
        <v>-0.43479999999999563</v>
      </c>
      <c r="AO43" s="141">
        <f>VLOOKUP(AA43,'FY 2008 TABLE 15'!$A$11:$M$146,4,FALSE)-AG43</f>
        <v>0</v>
      </c>
      <c r="AP43" s="141">
        <f>VLOOKUP(AA43,'FY 2008 TABLE 15'!$A$11:$M$146,5,FALSE)-AH43</f>
        <v>-0.3405000000002474</v>
      </c>
      <c r="AQ43" s="141">
        <f>VLOOKUP(AA43,'FY 2008 TABLE 15'!$A$11:$M$146,12,FALSE)-AI43</f>
        <v>0</v>
      </c>
      <c r="AR43" s="142">
        <f>VLOOKUP(AA43,'FY 2008 TABLE 15'!$A$11:$M$146,13,FALSE)-AJ43</f>
        <v>0.40749999999934516</v>
      </c>
    </row>
    <row r="44" spans="1:44" ht="6.75" customHeight="1">
      <c r="A44" s="187"/>
      <c r="B44" s="58"/>
      <c r="C44" s="58"/>
      <c r="D44" s="58"/>
      <c r="E44" s="58"/>
      <c r="F44" s="58"/>
      <c r="G44" s="58"/>
      <c r="H44" s="188"/>
      <c r="I44" s="132"/>
      <c r="J44" s="67"/>
      <c r="K44" s="45"/>
      <c r="L44" s="45"/>
      <c r="M44" s="45"/>
      <c r="N44" s="45"/>
      <c r="O44" s="45"/>
      <c r="P44" s="45"/>
      <c r="Q44" s="45"/>
      <c r="R44" s="45"/>
      <c r="S44" s="45"/>
      <c r="T44" s="45"/>
      <c r="U44" s="45"/>
      <c r="V44" s="45"/>
      <c r="W44" s="45"/>
      <c r="X44" s="45"/>
      <c r="Y44" s="45"/>
      <c r="Z44" s="45"/>
      <c r="AA44" s="193">
        <v>43</v>
      </c>
      <c r="AB44" s="194" t="s">
        <v>192</v>
      </c>
      <c r="AC44" s="97">
        <v>166241120.12</v>
      </c>
      <c r="AD44" s="97">
        <v>3483</v>
      </c>
      <c r="AE44" s="97">
        <v>25411815.149999995</v>
      </c>
      <c r="AF44" s="97">
        <v>532.4614</v>
      </c>
      <c r="AG44" s="97">
        <v>188493931.5</v>
      </c>
      <c r="AH44" s="97">
        <v>3949.5697</v>
      </c>
      <c r="AI44" s="97">
        <v>425355019.11</v>
      </c>
      <c r="AJ44" s="97">
        <v>8912.591</v>
      </c>
      <c r="AK44" s="141">
        <f>VLOOKUP(AA44,'FY 2008 TABLE 15'!$A$11:$M$146,6,FALSE)-AC44</f>
        <v>0</v>
      </c>
      <c r="AL44" s="141">
        <f>VLOOKUP(AA44,'FY 2008 TABLE 15'!$A$11:$M$146,7,FALSE)-AD44</f>
        <v>0</v>
      </c>
      <c r="AM44" s="141">
        <f>VLOOKUP(AA44,'FY 2008 TABLE 15'!$A$11:$M$146,10,FALSE)-AE44</f>
        <v>0</v>
      </c>
      <c r="AN44" s="141">
        <f>VLOOKUP(AA44,'FY 2008 TABLE 15'!$A$11:$M$146,11,FALSE)-AF44</f>
        <v>-0.461400000000026</v>
      </c>
      <c r="AO44" s="141">
        <f>VLOOKUP(AA44,'FY 2008 TABLE 15'!$A$11:$M$146,4,FALSE)-AG44</f>
        <v>0</v>
      </c>
      <c r="AP44" s="141">
        <f>VLOOKUP(AA44,'FY 2008 TABLE 15'!$A$11:$M$146,5,FALSE)-AH44</f>
        <v>0.43029999999998836</v>
      </c>
      <c r="AQ44" s="141">
        <f>VLOOKUP(AA44,'FY 2008 TABLE 15'!$A$11:$M$146,12,FALSE)-AI44</f>
        <v>0</v>
      </c>
      <c r="AR44" s="142">
        <f>VLOOKUP(AA44,'FY 2008 TABLE 15'!$A$11:$M$146,13,FALSE)-AJ44</f>
        <v>0.40899999999965075</v>
      </c>
    </row>
    <row r="45" spans="1:44" ht="15.75">
      <c r="A45" s="186" t="s">
        <v>141</v>
      </c>
      <c r="B45" s="56"/>
      <c r="C45" s="58"/>
      <c r="D45" s="58"/>
      <c r="E45" s="58"/>
      <c r="F45" s="58"/>
      <c r="G45" s="58"/>
      <c r="H45" s="213" t="e">
        <f>(F43/$F$51)</f>
        <v>#N/A</v>
      </c>
      <c r="I45" s="132" t="e">
        <f>VLOOKUP($A$5,'FY 2008 TABLE 15'!A11:M146,5,FALSE)</f>
        <v>#N/A</v>
      </c>
      <c r="J45" s="67" t="e">
        <f>IF(H45=I45,"OK","???")</f>
        <v>#N/A</v>
      </c>
      <c r="K45" s="45"/>
      <c r="L45" s="45"/>
      <c r="M45" s="45"/>
      <c r="N45" s="45"/>
      <c r="O45" s="45"/>
      <c r="P45" s="45"/>
      <c r="Q45" s="45"/>
      <c r="R45" s="45"/>
      <c r="S45" s="45"/>
      <c r="T45" s="45"/>
      <c r="U45" s="45"/>
      <c r="V45" s="45"/>
      <c r="W45" s="45"/>
      <c r="X45" s="45"/>
      <c r="Y45" s="45"/>
      <c r="Z45" s="45"/>
      <c r="AA45" s="193">
        <v>44</v>
      </c>
      <c r="AB45" s="194" t="s">
        <v>193</v>
      </c>
      <c r="AC45" s="97">
        <v>38939465.96999999</v>
      </c>
      <c r="AD45" s="97">
        <v>5281</v>
      </c>
      <c r="AE45" s="97">
        <v>7469400.86</v>
      </c>
      <c r="AF45" s="97">
        <v>1012.9612</v>
      </c>
      <c r="AG45" s="97">
        <v>14707571.970000014</v>
      </c>
      <c r="AH45" s="97">
        <v>1994.5642</v>
      </c>
      <c r="AI45" s="97">
        <v>69319422.84</v>
      </c>
      <c r="AJ45" s="97">
        <v>9400.7386</v>
      </c>
      <c r="AK45" s="141">
        <f>VLOOKUP(AA45,'FY 2008 TABLE 15'!$A$11:$M$146,6,FALSE)-AC45</f>
        <v>0</v>
      </c>
      <c r="AL45" s="141">
        <f>VLOOKUP(AA45,'FY 2008 TABLE 15'!$A$11:$M$146,7,FALSE)-AD45</f>
        <v>0</v>
      </c>
      <c r="AM45" s="141">
        <f>VLOOKUP(AA45,'FY 2008 TABLE 15'!$A$11:$M$146,10,FALSE)-AE45</f>
        <v>0</v>
      </c>
      <c r="AN45" s="141">
        <f>VLOOKUP(AA45,'FY 2008 TABLE 15'!$A$11:$M$146,11,FALSE)-AF45</f>
        <v>0.03880000000003747</v>
      </c>
      <c r="AO45" s="141">
        <f>VLOOKUP(AA45,'FY 2008 TABLE 15'!$A$11:$M$146,4,FALSE)-AG45</f>
        <v>0</v>
      </c>
      <c r="AP45" s="141">
        <f>VLOOKUP(AA45,'FY 2008 TABLE 15'!$A$11:$M$146,5,FALSE)-AH45</f>
        <v>0.435799999999972</v>
      </c>
      <c r="AQ45" s="141">
        <f>VLOOKUP(AA45,'FY 2008 TABLE 15'!$A$11:$M$146,12,FALSE)-AI45</f>
        <v>0</v>
      </c>
      <c r="AR45" s="142">
        <f>VLOOKUP(AA45,'FY 2008 TABLE 15'!$A$11:$M$146,13,FALSE)-AJ45</f>
        <v>0.2613999999994121</v>
      </c>
    </row>
    <row r="46" spans="1:44" ht="21.75" customHeight="1">
      <c r="A46" s="187"/>
      <c r="B46" s="58"/>
      <c r="C46" s="58"/>
      <c r="D46" s="58"/>
      <c r="E46" s="58"/>
      <c r="F46" s="58"/>
      <c r="G46" s="58"/>
      <c r="H46" s="188"/>
      <c r="I46" s="132"/>
      <c r="J46" s="67"/>
      <c r="K46" s="45"/>
      <c r="L46" s="45"/>
      <c r="M46" s="45"/>
      <c r="N46" s="45"/>
      <c r="O46" s="45"/>
      <c r="P46" s="45"/>
      <c r="Q46" s="45"/>
      <c r="R46" s="45"/>
      <c r="S46" s="45"/>
      <c r="T46" s="45"/>
      <c r="U46" s="45"/>
      <c r="V46" s="45"/>
      <c r="W46" s="45"/>
      <c r="X46" s="45"/>
      <c r="Y46" s="45"/>
      <c r="Z46" s="45"/>
      <c r="AA46" s="193">
        <v>45</v>
      </c>
      <c r="AB46" s="194" t="s">
        <v>194</v>
      </c>
      <c r="AC46" s="97">
        <v>1563442.6</v>
      </c>
      <c r="AD46" s="97">
        <v>5799</v>
      </c>
      <c r="AE46" s="97">
        <v>332241.35</v>
      </c>
      <c r="AF46" s="97">
        <v>1232.2478</v>
      </c>
      <c r="AG46" s="97">
        <v>1859868.24</v>
      </c>
      <c r="AH46" s="97">
        <v>6898.0531</v>
      </c>
      <c r="AI46" s="97">
        <v>4039812.21</v>
      </c>
      <c r="AJ46" s="97">
        <v>14983.2329</v>
      </c>
      <c r="AK46" s="141">
        <f>VLOOKUP(AA46,'FY 2008 TABLE 15'!$A$11:$M$146,6,FALSE)-AC46</f>
        <v>0</v>
      </c>
      <c r="AL46" s="141">
        <f>VLOOKUP(AA46,'FY 2008 TABLE 15'!$A$11:$M$146,7,FALSE)-AD46</f>
        <v>0</v>
      </c>
      <c r="AM46" s="141">
        <f>VLOOKUP(AA46,'FY 2008 TABLE 15'!$A$11:$M$146,10,FALSE)-AE46</f>
        <v>0</v>
      </c>
      <c r="AN46" s="141">
        <f>VLOOKUP(AA46,'FY 2008 TABLE 15'!$A$11:$M$146,11,FALSE)-AF46</f>
        <v>-0.2478000000000975</v>
      </c>
      <c r="AO46" s="141">
        <f>VLOOKUP(AA46,'FY 2008 TABLE 15'!$A$11:$M$146,4,FALSE)-AG46</f>
        <v>0</v>
      </c>
      <c r="AP46" s="141">
        <f>VLOOKUP(AA46,'FY 2008 TABLE 15'!$A$11:$M$146,5,FALSE)-AH46</f>
        <v>-0.053100000000085856</v>
      </c>
      <c r="AQ46" s="141">
        <f>VLOOKUP(AA46,'FY 2008 TABLE 15'!$A$11:$M$146,12,FALSE)-AI46</f>
        <v>0</v>
      </c>
      <c r="AR46" s="142">
        <f>VLOOKUP(AA46,'FY 2008 TABLE 15'!$A$11:$M$146,13,FALSE)-AJ46</f>
        <v>-0.23290000000088185</v>
      </c>
    </row>
    <row r="47" spans="1:44" ht="15.75">
      <c r="A47" s="170" t="s">
        <v>9</v>
      </c>
      <c r="B47" s="58"/>
      <c r="C47" s="58"/>
      <c r="D47" s="58"/>
      <c r="E47" s="58"/>
      <c r="F47" s="6" t="e">
        <f>H12</f>
        <v>#N/A</v>
      </c>
      <c r="G47" s="58"/>
      <c r="H47" s="188"/>
      <c r="I47" s="132"/>
      <c r="J47" s="67"/>
      <c r="K47" s="45"/>
      <c r="L47" s="45"/>
      <c r="M47" s="45"/>
      <c r="N47" s="45"/>
      <c r="O47" s="45"/>
      <c r="P47" s="45"/>
      <c r="Q47" s="45"/>
      <c r="R47" s="45"/>
      <c r="S47" s="45"/>
      <c r="T47" s="45"/>
      <c r="U47" s="45"/>
      <c r="V47" s="45"/>
      <c r="W47" s="45"/>
      <c r="X47" s="45"/>
      <c r="Y47" s="45"/>
      <c r="Z47" s="45"/>
      <c r="AA47" s="193">
        <v>46</v>
      </c>
      <c r="AB47" s="194" t="s">
        <v>195</v>
      </c>
      <c r="AC47" s="97">
        <v>21379178.97</v>
      </c>
      <c r="AD47" s="97">
        <v>4021</v>
      </c>
      <c r="AE47" s="97">
        <v>3350458.55</v>
      </c>
      <c r="AF47" s="97">
        <v>630.1659</v>
      </c>
      <c r="AG47" s="97">
        <v>23949461.509999998</v>
      </c>
      <c r="AH47" s="97">
        <v>4504.4978</v>
      </c>
      <c r="AI47" s="97">
        <v>54135654.87</v>
      </c>
      <c r="AJ47" s="97">
        <v>10182.0219</v>
      </c>
      <c r="AK47" s="141">
        <f>VLOOKUP(AA47,'FY 2008 TABLE 15'!$A$11:$M$146,6,FALSE)-AC47</f>
        <v>0</v>
      </c>
      <c r="AL47" s="141">
        <f>VLOOKUP(AA47,'FY 2008 TABLE 15'!$A$11:$M$146,7,FALSE)-AD47</f>
        <v>0</v>
      </c>
      <c r="AM47" s="141">
        <f>VLOOKUP(AA47,'FY 2008 TABLE 15'!$A$11:$M$146,10,FALSE)-AE47</f>
        <v>0</v>
      </c>
      <c r="AN47" s="141">
        <f>VLOOKUP(AA47,'FY 2008 TABLE 15'!$A$11:$M$146,11,FALSE)-AF47</f>
        <v>-0.16589999999996508</v>
      </c>
      <c r="AO47" s="141">
        <f>VLOOKUP(AA47,'FY 2008 TABLE 15'!$A$11:$M$146,4,FALSE)-AG47</f>
        <v>0</v>
      </c>
      <c r="AP47" s="141">
        <f>VLOOKUP(AA47,'FY 2008 TABLE 15'!$A$11:$M$146,5,FALSE)-AH47</f>
        <v>-0.4978000000000975</v>
      </c>
      <c r="AQ47" s="141">
        <f>VLOOKUP(AA47,'FY 2008 TABLE 15'!$A$11:$M$146,12,FALSE)-AI47</f>
        <v>0</v>
      </c>
      <c r="AR47" s="142">
        <f>VLOOKUP(AA47,'FY 2008 TABLE 15'!$A$11:$M$146,13,FALSE)-AJ47</f>
        <v>-0.021899999999732245</v>
      </c>
    </row>
    <row r="48" spans="1:44" ht="6.75" customHeight="1">
      <c r="A48" s="187"/>
      <c r="B48" s="58"/>
      <c r="C48" s="58"/>
      <c r="D48" s="58"/>
      <c r="E48" s="58"/>
      <c r="F48" s="58"/>
      <c r="G48" s="58"/>
      <c r="H48" s="188"/>
      <c r="I48" s="132"/>
      <c r="J48" s="67"/>
      <c r="K48" s="45"/>
      <c r="L48" s="45"/>
      <c r="M48" s="45"/>
      <c r="N48" s="45"/>
      <c r="O48" s="45"/>
      <c r="P48" s="45"/>
      <c r="Q48" s="45"/>
      <c r="R48" s="45"/>
      <c r="S48" s="45"/>
      <c r="T48" s="45"/>
      <c r="U48" s="45"/>
      <c r="V48" s="45"/>
      <c r="W48" s="45"/>
      <c r="X48" s="45"/>
      <c r="Y48" s="45"/>
      <c r="Z48" s="45"/>
      <c r="AA48" s="193">
        <v>48</v>
      </c>
      <c r="AB48" s="194" t="s">
        <v>197</v>
      </c>
      <c r="AC48" s="97">
        <v>15759221.01</v>
      </c>
      <c r="AD48" s="97">
        <v>4053</v>
      </c>
      <c r="AE48" s="97">
        <v>1366857.97</v>
      </c>
      <c r="AF48" s="97">
        <v>351.5479</v>
      </c>
      <c r="AG48" s="97">
        <v>11432111.379999999</v>
      </c>
      <c r="AH48" s="97">
        <v>2940.2728</v>
      </c>
      <c r="AI48" s="97">
        <v>31512794.86</v>
      </c>
      <c r="AJ48" s="97">
        <v>8104.9081</v>
      </c>
      <c r="AK48" s="141">
        <f>VLOOKUP(AA48,'FY 2008 TABLE 15'!$A$11:$M$146,6,FALSE)-AC48</f>
        <v>0</v>
      </c>
      <c r="AL48" s="141">
        <f>VLOOKUP(AA48,'FY 2008 TABLE 15'!$A$11:$M$146,7,FALSE)-AD48</f>
        <v>0</v>
      </c>
      <c r="AM48" s="141">
        <f>VLOOKUP(AA48,'FY 2008 TABLE 15'!$A$11:$M$146,10,FALSE)-AE48</f>
        <v>0</v>
      </c>
      <c r="AN48" s="141">
        <f>VLOOKUP(AA48,'FY 2008 TABLE 15'!$A$11:$M$146,11,FALSE)-AF48</f>
        <v>0.4520999999999731</v>
      </c>
      <c r="AO48" s="141">
        <f>VLOOKUP(AA48,'FY 2008 TABLE 15'!$A$11:$M$146,4,FALSE)-AG48</f>
        <v>0</v>
      </c>
      <c r="AP48" s="141">
        <f>VLOOKUP(AA48,'FY 2008 TABLE 15'!$A$11:$M$146,5,FALSE)-AH48</f>
        <v>-0.27280000000018845</v>
      </c>
      <c r="AQ48" s="141">
        <f>VLOOKUP(AA48,'FY 2008 TABLE 15'!$A$11:$M$146,12,FALSE)-AI48</f>
        <v>0</v>
      </c>
      <c r="AR48" s="142">
        <f>VLOOKUP(AA48,'FY 2008 TABLE 15'!$A$11:$M$146,13,FALSE)-AJ48</f>
        <v>0.0919000000003507</v>
      </c>
    </row>
    <row r="49" spans="1:44" ht="15.75">
      <c r="A49" s="186" t="s">
        <v>10</v>
      </c>
      <c r="B49" s="56"/>
      <c r="C49" s="58"/>
      <c r="D49" s="58"/>
      <c r="E49" s="58"/>
      <c r="F49" s="58"/>
      <c r="G49" s="58"/>
      <c r="H49" s="213" t="e">
        <f>(F47/$F$51)</f>
        <v>#N/A</v>
      </c>
      <c r="I49" s="132" t="e">
        <f>VLOOKUP($A$5,'FY 2008 TABLE 15'!A11:M146,13,FALSE)</f>
        <v>#N/A</v>
      </c>
      <c r="J49" s="67" t="e">
        <f>IF(H49=I49,"OK","???")</f>
        <v>#N/A</v>
      </c>
      <c r="K49" s="45"/>
      <c r="L49" s="45"/>
      <c r="M49" s="45"/>
      <c r="N49" s="45"/>
      <c r="O49" s="45"/>
      <c r="P49" s="45"/>
      <c r="Q49" s="45"/>
      <c r="R49" s="45"/>
      <c r="S49" s="45"/>
      <c r="T49" s="45"/>
      <c r="U49" s="45"/>
      <c r="V49" s="45"/>
      <c r="W49" s="45"/>
      <c r="X49" s="45"/>
      <c r="Y49" s="45"/>
      <c r="Z49" s="45"/>
      <c r="AA49" s="193">
        <v>49</v>
      </c>
      <c r="AB49" s="194" t="s">
        <v>196</v>
      </c>
      <c r="AC49" s="97">
        <v>4317234.21</v>
      </c>
      <c r="AD49" s="97">
        <v>5489</v>
      </c>
      <c r="AE49" s="97">
        <v>1063099.09</v>
      </c>
      <c r="AF49" s="97">
        <v>1351.7123</v>
      </c>
      <c r="AG49" s="97">
        <v>4841651.7</v>
      </c>
      <c r="AH49" s="97">
        <v>6156.0772</v>
      </c>
      <c r="AI49" s="97">
        <v>11093160</v>
      </c>
      <c r="AJ49" s="97">
        <v>14104.763</v>
      </c>
      <c r="AK49" s="141">
        <f>VLOOKUP(AA49,'FY 2008 TABLE 15'!$A$11:$M$146,6,FALSE)-AC49</f>
        <v>0</v>
      </c>
      <c r="AL49" s="141">
        <f>VLOOKUP(AA49,'FY 2008 TABLE 15'!$A$11:$M$146,7,FALSE)-AD49</f>
        <v>0</v>
      </c>
      <c r="AM49" s="141">
        <f>VLOOKUP(AA49,'FY 2008 TABLE 15'!$A$11:$M$146,10,FALSE)-AE49</f>
        <v>0</v>
      </c>
      <c r="AN49" s="141">
        <f>VLOOKUP(AA49,'FY 2008 TABLE 15'!$A$11:$M$146,11,FALSE)-AF49</f>
        <v>0.2877000000000862</v>
      </c>
      <c r="AO49" s="141">
        <f>VLOOKUP(AA49,'FY 2008 TABLE 15'!$A$11:$M$146,4,FALSE)-AG49</f>
        <v>0</v>
      </c>
      <c r="AP49" s="141">
        <f>VLOOKUP(AA49,'FY 2008 TABLE 15'!$A$11:$M$146,5,FALSE)-AH49</f>
        <v>-0.0771999999997206</v>
      </c>
      <c r="AQ49" s="141">
        <f>VLOOKUP(AA49,'FY 2008 TABLE 15'!$A$11:$M$146,12,FALSE)-AI49</f>
        <v>0</v>
      </c>
      <c r="AR49" s="142">
        <f>VLOOKUP(AA49,'FY 2008 TABLE 15'!$A$11:$M$146,13,FALSE)-AJ49</f>
        <v>0.23699999999917054</v>
      </c>
    </row>
    <row r="50" spans="1:44" ht="21.75" customHeight="1">
      <c r="A50" s="187"/>
      <c r="B50" s="58"/>
      <c r="C50" s="58"/>
      <c r="D50" s="58"/>
      <c r="E50" s="58"/>
      <c r="F50" s="58"/>
      <c r="G50" s="58"/>
      <c r="H50" s="188"/>
      <c r="I50" s="132"/>
      <c r="J50" s="67"/>
      <c r="K50" s="45"/>
      <c r="L50" s="45"/>
      <c r="M50" s="45"/>
      <c r="N50" s="45"/>
      <c r="O50" s="45"/>
      <c r="P50" s="45"/>
      <c r="Q50" s="45"/>
      <c r="R50" s="45"/>
      <c r="S50" s="45"/>
      <c r="T50" s="45"/>
      <c r="U50" s="45"/>
      <c r="V50" s="45"/>
      <c r="W50" s="45"/>
      <c r="X50" s="45"/>
      <c r="Y50" s="45"/>
      <c r="Z50" s="45"/>
      <c r="AA50" s="193">
        <v>50</v>
      </c>
      <c r="AB50" s="194" t="s">
        <v>198</v>
      </c>
      <c r="AC50" s="97">
        <v>10137608.32</v>
      </c>
      <c r="AD50" s="97">
        <v>4787</v>
      </c>
      <c r="AE50" s="97">
        <v>1633384.28</v>
      </c>
      <c r="AF50" s="97">
        <v>771.2849</v>
      </c>
      <c r="AG50" s="97">
        <v>6845949.369999998</v>
      </c>
      <c r="AH50" s="97">
        <v>3232.6609</v>
      </c>
      <c r="AI50" s="97">
        <v>20456864.97</v>
      </c>
      <c r="AJ50" s="97">
        <v>9659.7424</v>
      </c>
      <c r="AK50" s="141">
        <f>VLOOKUP(AA50,'FY 2008 TABLE 15'!$A$11:$M$146,6,FALSE)-AC50</f>
        <v>0</v>
      </c>
      <c r="AL50" s="141">
        <f>VLOOKUP(AA50,'FY 2008 TABLE 15'!$A$11:$M$146,7,FALSE)-AD50</f>
        <v>0</v>
      </c>
      <c r="AM50" s="141">
        <f>VLOOKUP(AA50,'FY 2008 TABLE 15'!$A$11:$M$146,10,FALSE)-AE50</f>
        <v>-255003.44999999995</v>
      </c>
      <c r="AN50" s="141">
        <f>VLOOKUP(AA50,'FY 2008 TABLE 15'!$A$11:$M$146,11,FALSE)-AF50</f>
        <v>-120.2849</v>
      </c>
      <c r="AO50" s="141">
        <f>VLOOKUP(AA50,'FY 2008 TABLE 15'!$A$11:$M$146,4,FALSE)-AG50</f>
        <v>255003.4500000002</v>
      </c>
      <c r="AP50" s="141">
        <f>VLOOKUP(AA50,'FY 2008 TABLE 15'!$A$11:$M$146,5,FALSE)-AH50</f>
        <v>120.33910000000014</v>
      </c>
      <c r="AQ50" s="141">
        <f>VLOOKUP(AA50,'FY 2008 TABLE 15'!$A$11:$M$146,12,FALSE)-AI50</f>
        <v>0</v>
      </c>
      <c r="AR50" s="142">
        <f>VLOOKUP(AA50,'FY 2008 TABLE 15'!$A$11:$M$146,13,FALSE)-AJ50</f>
        <v>0.25760000000082073</v>
      </c>
    </row>
    <row r="51" spans="1:44" ht="15.75">
      <c r="A51" s="189" t="s">
        <v>284</v>
      </c>
      <c r="B51" s="58"/>
      <c r="C51" s="58"/>
      <c r="D51" s="58"/>
      <c r="E51" s="58"/>
      <c r="F51" s="145" t="e">
        <f>VLOOKUP($A$5,'Source Data'!A2:Q137,17,FALSE)</f>
        <v>#N/A</v>
      </c>
      <c r="G51" s="58"/>
      <c r="H51" s="173"/>
      <c r="I51" s="132"/>
      <c r="J51" s="67"/>
      <c r="K51" s="45"/>
      <c r="L51" s="45"/>
      <c r="M51" s="45"/>
      <c r="N51" s="45"/>
      <c r="O51" s="45"/>
      <c r="P51" s="45"/>
      <c r="Q51" s="45"/>
      <c r="R51" s="45"/>
      <c r="S51" s="45"/>
      <c r="T51" s="45"/>
      <c r="U51" s="45"/>
      <c r="V51" s="45"/>
      <c r="W51" s="45"/>
      <c r="X51" s="45"/>
      <c r="Y51" s="45"/>
      <c r="Z51" s="45"/>
      <c r="AA51" s="193">
        <v>51</v>
      </c>
      <c r="AB51" s="194" t="s">
        <v>199</v>
      </c>
      <c r="AC51" s="97">
        <v>3172187.87</v>
      </c>
      <c r="AD51" s="97">
        <v>2378</v>
      </c>
      <c r="AE51" s="97">
        <v>1241531.17</v>
      </c>
      <c r="AF51" s="97">
        <v>930.7606</v>
      </c>
      <c r="AG51" s="97">
        <v>9217801.52</v>
      </c>
      <c r="AH51" s="97">
        <v>6910.4719</v>
      </c>
      <c r="AI51" s="97">
        <v>14958804.120000001</v>
      </c>
      <c r="AJ51" s="97">
        <v>11214.4306</v>
      </c>
      <c r="AK51" s="141">
        <f>VLOOKUP(AA51,'FY 2008 TABLE 15'!$A$11:$M$146,6,FALSE)-AC51</f>
        <v>0</v>
      </c>
      <c r="AL51" s="141">
        <f>VLOOKUP(AA51,'FY 2008 TABLE 15'!$A$11:$M$146,7,FALSE)-AD51</f>
        <v>0</v>
      </c>
      <c r="AM51" s="141">
        <f>VLOOKUP(AA51,'FY 2008 TABLE 15'!$A$11:$M$146,10,FALSE)-AE51</f>
        <v>0</v>
      </c>
      <c r="AN51" s="141">
        <f>VLOOKUP(AA51,'FY 2008 TABLE 15'!$A$11:$M$146,11,FALSE)-AF51</f>
        <v>0.23940000000004602</v>
      </c>
      <c r="AO51" s="141">
        <f>VLOOKUP(AA51,'FY 2008 TABLE 15'!$A$11:$M$146,4,FALSE)-AG51</f>
        <v>0</v>
      </c>
      <c r="AP51" s="141">
        <f>VLOOKUP(AA51,'FY 2008 TABLE 15'!$A$11:$M$146,5,FALSE)-AH51</f>
        <v>-0.47189999999955035</v>
      </c>
      <c r="AQ51" s="141">
        <f>VLOOKUP(AA51,'FY 2008 TABLE 15'!$A$11:$M$146,12,FALSE)-AI51</f>
        <v>0</v>
      </c>
      <c r="AR51" s="142">
        <f>VLOOKUP(AA51,'FY 2008 TABLE 15'!$A$11:$M$146,13,FALSE)-AJ51</f>
        <v>-0.4305999999996857</v>
      </c>
    </row>
    <row r="52" spans="1:44" ht="15.75">
      <c r="A52" s="190"/>
      <c r="B52" s="191"/>
      <c r="C52" s="191"/>
      <c r="D52" s="191"/>
      <c r="E52" s="191"/>
      <c r="F52" s="191"/>
      <c r="G52" s="191"/>
      <c r="H52" s="192"/>
      <c r="I52" s="132"/>
      <c r="J52" s="67"/>
      <c r="K52" s="45"/>
      <c r="L52" s="45"/>
      <c r="M52" s="45"/>
      <c r="N52" s="45"/>
      <c r="O52" s="45"/>
      <c r="P52" s="45"/>
      <c r="Q52" s="45"/>
      <c r="R52" s="45"/>
      <c r="S52" s="45"/>
      <c r="T52" s="45"/>
      <c r="U52" s="45"/>
      <c r="V52" s="45"/>
      <c r="W52" s="45"/>
      <c r="X52" s="45"/>
      <c r="Y52" s="45"/>
      <c r="Z52" s="45"/>
      <c r="AA52" s="193">
        <v>52</v>
      </c>
      <c r="AB52" s="194" t="s">
        <v>200</v>
      </c>
      <c r="AC52" s="97">
        <v>23406262.53</v>
      </c>
      <c r="AD52" s="97">
        <v>6787</v>
      </c>
      <c r="AE52" s="97">
        <v>4652006.2</v>
      </c>
      <c r="AF52" s="97">
        <v>1348.9703</v>
      </c>
      <c r="AG52" s="97">
        <v>9216881.57</v>
      </c>
      <c r="AH52" s="97">
        <v>2672.6747</v>
      </c>
      <c r="AI52" s="97">
        <v>40895602.88</v>
      </c>
      <c r="AJ52" s="97">
        <v>11858.7444</v>
      </c>
      <c r="AK52" s="141">
        <f>VLOOKUP(AA52,'FY 2008 TABLE 15'!$A$11:$M$146,6,FALSE)-AC52</f>
        <v>0</v>
      </c>
      <c r="AL52" s="141">
        <f>VLOOKUP(AA52,'FY 2008 TABLE 15'!$A$11:$M$146,7,FALSE)-AD52</f>
        <v>0</v>
      </c>
      <c r="AM52" s="141">
        <f>VLOOKUP(AA52,'FY 2008 TABLE 15'!$A$11:$M$146,10,FALSE)-AE52</f>
        <v>0</v>
      </c>
      <c r="AN52" s="141">
        <f>VLOOKUP(AA52,'FY 2008 TABLE 15'!$A$11:$M$146,11,FALSE)-AF52</f>
        <v>0.02970000000004802</v>
      </c>
      <c r="AO52" s="141">
        <f>VLOOKUP(AA52,'FY 2008 TABLE 15'!$A$11:$M$146,4,FALSE)-AG52</f>
        <v>0</v>
      </c>
      <c r="AP52" s="141">
        <f>VLOOKUP(AA52,'FY 2008 TABLE 15'!$A$11:$M$146,5,FALSE)-AH52</f>
        <v>0.32529999999997017</v>
      </c>
      <c r="AQ52" s="141">
        <f>VLOOKUP(AA52,'FY 2008 TABLE 15'!$A$11:$M$146,12,FALSE)-AI52</f>
        <v>0</v>
      </c>
      <c r="AR52" s="142">
        <f>VLOOKUP(AA52,'FY 2008 TABLE 15'!$A$11:$M$146,13,FALSE)-AJ52</f>
        <v>0.2556000000004133</v>
      </c>
    </row>
    <row r="53" spans="1:44" ht="15.75">
      <c r="A53" s="46"/>
      <c r="B53" s="46"/>
      <c r="C53" s="46"/>
      <c r="D53" s="46"/>
      <c r="E53" s="46"/>
      <c r="F53" s="46"/>
      <c r="G53" s="46"/>
      <c r="H53" s="46"/>
      <c r="I53" s="132"/>
      <c r="J53" s="67"/>
      <c r="K53" s="45"/>
      <c r="L53" s="45"/>
      <c r="M53" s="45"/>
      <c r="N53" s="45"/>
      <c r="O53" s="45"/>
      <c r="P53" s="45"/>
      <c r="Q53" s="45"/>
      <c r="R53" s="45"/>
      <c r="S53" s="45"/>
      <c r="T53" s="45"/>
      <c r="U53" s="45"/>
      <c r="V53" s="45"/>
      <c r="W53" s="45"/>
      <c r="X53" s="45"/>
      <c r="Y53" s="45"/>
      <c r="Z53" s="45"/>
      <c r="AA53" s="193">
        <v>53</v>
      </c>
      <c r="AB53" s="194" t="s">
        <v>201</v>
      </c>
      <c r="AC53" s="97">
        <v>118546195.77</v>
      </c>
      <c r="AD53" s="97">
        <v>2217</v>
      </c>
      <c r="AE53" s="97">
        <v>18617724.28</v>
      </c>
      <c r="AF53" s="97">
        <v>348.1322</v>
      </c>
      <c r="AG53" s="97">
        <v>535590243.95000005</v>
      </c>
      <c r="AH53" s="97">
        <v>10014.9838</v>
      </c>
      <c r="AI53" s="97">
        <v>718765659.79</v>
      </c>
      <c r="AJ53" s="97">
        <v>13440.1746</v>
      </c>
      <c r="AK53" s="141">
        <f>VLOOKUP(AA53,'FY 2008 TABLE 15'!$A$11:$M$146,6,FALSE)-AC53</f>
        <v>0</v>
      </c>
      <c r="AL53" s="141">
        <f>VLOOKUP(AA53,'FY 2008 TABLE 15'!$A$11:$M$146,7,FALSE)-AD53</f>
        <v>0</v>
      </c>
      <c r="AM53" s="141">
        <f>VLOOKUP(AA53,'FY 2008 TABLE 15'!$A$11:$M$146,10,FALSE)-AE53</f>
        <v>0</v>
      </c>
      <c r="AN53" s="141">
        <f>VLOOKUP(AA53,'FY 2008 TABLE 15'!$A$11:$M$146,11,FALSE)-AF53</f>
        <v>-0.13220000000001164</v>
      </c>
      <c r="AO53" s="141">
        <f>VLOOKUP(AA53,'FY 2008 TABLE 15'!$A$11:$M$146,4,FALSE)-AG53</f>
        <v>0</v>
      </c>
      <c r="AP53" s="141">
        <f>VLOOKUP(AA53,'FY 2008 TABLE 15'!$A$11:$M$146,5,FALSE)-AH53</f>
        <v>0.016200000000026193</v>
      </c>
      <c r="AQ53" s="141">
        <f>VLOOKUP(AA53,'FY 2008 TABLE 15'!$A$11:$M$146,12,FALSE)-AI53</f>
        <v>0</v>
      </c>
      <c r="AR53" s="142">
        <f>VLOOKUP(AA53,'FY 2008 TABLE 15'!$A$11:$M$146,13,FALSE)-AJ53</f>
        <v>-0.1746000000002823</v>
      </c>
    </row>
    <row r="54" spans="1:44" ht="15.75">
      <c r="A54" s="46"/>
      <c r="B54" s="46"/>
      <c r="C54" s="46"/>
      <c r="D54" s="46"/>
      <c r="E54" s="46"/>
      <c r="F54" s="46"/>
      <c r="G54" s="46"/>
      <c r="H54" s="46"/>
      <c r="I54" s="132"/>
      <c r="J54" s="67"/>
      <c r="K54" s="45"/>
      <c r="L54" s="45"/>
      <c r="M54" s="45"/>
      <c r="N54" s="45"/>
      <c r="O54" s="45"/>
      <c r="P54" s="45"/>
      <c r="Q54" s="45"/>
      <c r="R54" s="45"/>
      <c r="S54" s="45"/>
      <c r="T54" s="45"/>
      <c r="U54" s="45"/>
      <c r="V54" s="45"/>
      <c r="W54" s="45"/>
      <c r="X54" s="45"/>
      <c r="Y54" s="45"/>
      <c r="Z54" s="45"/>
      <c r="AA54" s="193">
        <v>54</v>
      </c>
      <c r="AB54" s="194" t="s">
        <v>202</v>
      </c>
      <c r="AC54" s="97">
        <v>13396103.58</v>
      </c>
      <c r="AD54" s="97">
        <v>2924</v>
      </c>
      <c r="AE54" s="97">
        <v>2635823.42</v>
      </c>
      <c r="AF54" s="97">
        <v>575.3007</v>
      </c>
      <c r="AG54" s="97">
        <v>24145279.870000005</v>
      </c>
      <c r="AH54" s="97">
        <v>5270.0031</v>
      </c>
      <c r="AI54" s="97">
        <v>44557862.09</v>
      </c>
      <c r="AJ54" s="97">
        <v>9725.2992</v>
      </c>
      <c r="AK54" s="141">
        <f>VLOOKUP(AA54,'FY 2008 TABLE 15'!$A$11:$M$146,6,FALSE)-AC54</f>
        <v>0</v>
      </c>
      <c r="AL54" s="141">
        <f>VLOOKUP(AA54,'FY 2008 TABLE 15'!$A$11:$M$146,7,FALSE)-AD54</f>
        <v>0</v>
      </c>
      <c r="AM54" s="141">
        <f>VLOOKUP(AA54,'FY 2008 TABLE 15'!$A$11:$M$146,10,FALSE)-AE54</f>
        <v>0</v>
      </c>
      <c r="AN54" s="141">
        <f>VLOOKUP(AA54,'FY 2008 TABLE 15'!$A$11:$M$146,11,FALSE)-AF54</f>
        <v>-0.3007000000000062</v>
      </c>
      <c r="AO54" s="141">
        <f>VLOOKUP(AA54,'FY 2008 TABLE 15'!$A$11:$M$146,4,FALSE)-AG54</f>
        <v>0</v>
      </c>
      <c r="AP54" s="141">
        <f>VLOOKUP(AA54,'FY 2008 TABLE 15'!$A$11:$M$146,5,FALSE)-AH54</f>
        <v>-0.0030999999999039574</v>
      </c>
      <c r="AQ54" s="141">
        <f>VLOOKUP(AA54,'FY 2008 TABLE 15'!$A$11:$M$146,12,FALSE)-AI54</f>
        <v>0</v>
      </c>
      <c r="AR54" s="142">
        <f>VLOOKUP(AA54,'FY 2008 TABLE 15'!$A$11:$M$146,13,FALSE)-AJ54</f>
        <v>-0.2991999999994732</v>
      </c>
    </row>
    <row r="55" spans="1:44" ht="15.75">
      <c r="A55" s="46"/>
      <c r="B55" s="46"/>
      <c r="C55" s="46"/>
      <c r="D55" s="46"/>
      <c r="E55" s="46"/>
      <c r="F55" s="46"/>
      <c r="G55" s="46"/>
      <c r="H55" s="46"/>
      <c r="I55" s="132"/>
      <c r="J55" s="67"/>
      <c r="K55" s="45"/>
      <c r="L55" s="45"/>
      <c r="M55" s="45"/>
      <c r="N55" s="45"/>
      <c r="O55" s="45"/>
      <c r="P55" s="45"/>
      <c r="Q55" s="45"/>
      <c r="R55" s="45"/>
      <c r="S55" s="45"/>
      <c r="T55" s="45"/>
      <c r="U55" s="45"/>
      <c r="V55" s="45"/>
      <c r="W55" s="45"/>
      <c r="X55" s="45"/>
      <c r="Y55" s="45"/>
      <c r="Z55" s="45"/>
      <c r="AA55" s="193">
        <v>55</v>
      </c>
      <c r="AB55" s="194" t="s">
        <v>203</v>
      </c>
      <c r="AC55" s="97">
        <v>9475349.77</v>
      </c>
      <c r="AD55" s="97">
        <v>5846</v>
      </c>
      <c r="AE55" s="97">
        <v>2035443.31</v>
      </c>
      <c r="AF55" s="97">
        <v>1255.9095</v>
      </c>
      <c r="AG55" s="97">
        <v>3306284.72</v>
      </c>
      <c r="AH55" s="97">
        <v>2040.0442</v>
      </c>
      <c r="AI55" s="97">
        <v>16553535.58</v>
      </c>
      <c r="AJ55" s="97">
        <v>10213.8648</v>
      </c>
      <c r="AK55" s="141">
        <f>VLOOKUP(AA55,'FY 2008 TABLE 15'!$A$11:$M$146,6,FALSE)-AC55</f>
        <v>0</v>
      </c>
      <c r="AL55" s="141">
        <f>VLOOKUP(AA55,'FY 2008 TABLE 15'!$A$11:$M$146,7,FALSE)-AD55</f>
        <v>0</v>
      </c>
      <c r="AM55" s="141">
        <f>VLOOKUP(AA55,'FY 2008 TABLE 15'!$A$11:$M$146,10,FALSE)-AE55</f>
        <v>0</v>
      </c>
      <c r="AN55" s="141">
        <f>VLOOKUP(AA55,'FY 2008 TABLE 15'!$A$11:$M$146,11,FALSE)-AF55</f>
        <v>0.09050000000002001</v>
      </c>
      <c r="AO55" s="141">
        <f>VLOOKUP(AA55,'FY 2008 TABLE 15'!$A$11:$M$146,4,FALSE)-AG55</f>
        <v>0</v>
      </c>
      <c r="AP55" s="141">
        <f>VLOOKUP(AA55,'FY 2008 TABLE 15'!$A$11:$M$146,5,FALSE)-AH55</f>
        <v>-0.0442000000000462</v>
      </c>
      <c r="AQ55" s="141">
        <f>VLOOKUP(AA55,'FY 2008 TABLE 15'!$A$11:$M$146,12,FALSE)-AI55</f>
        <v>0</v>
      </c>
      <c r="AR55" s="142">
        <f>VLOOKUP(AA55,'FY 2008 TABLE 15'!$A$11:$M$146,13,FALSE)-AJ55</f>
        <v>0.13520000000062282</v>
      </c>
    </row>
    <row r="56" spans="1:44" ht="15.75">
      <c r="A56" s="46"/>
      <c r="B56" s="46"/>
      <c r="C56" s="46"/>
      <c r="D56" s="46"/>
      <c r="E56" s="46"/>
      <c r="F56" s="46"/>
      <c r="G56" s="46"/>
      <c r="H56" s="46"/>
      <c r="I56" s="132"/>
      <c r="J56" s="67"/>
      <c r="K56" s="45"/>
      <c r="L56" s="45"/>
      <c r="M56" s="45"/>
      <c r="N56" s="45"/>
      <c r="O56" s="45"/>
      <c r="P56" s="45"/>
      <c r="Q56" s="45"/>
      <c r="R56" s="45"/>
      <c r="S56" s="45"/>
      <c r="T56" s="45"/>
      <c r="U56" s="45"/>
      <c r="V56" s="45"/>
      <c r="W56" s="45"/>
      <c r="X56" s="45"/>
      <c r="Y56" s="45"/>
      <c r="Z56" s="45"/>
      <c r="AA56" s="193">
        <v>56</v>
      </c>
      <c r="AB56" s="194" t="s">
        <v>204</v>
      </c>
      <c r="AC56" s="97">
        <v>7492730.459999999</v>
      </c>
      <c r="AD56" s="97">
        <v>4060</v>
      </c>
      <c r="AE56" s="97">
        <v>973896.46</v>
      </c>
      <c r="AF56" s="97">
        <v>527.6887</v>
      </c>
      <c r="AG56" s="97">
        <v>7658615.770000002</v>
      </c>
      <c r="AH56" s="97">
        <v>4149.6862</v>
      </c>
      <c r="AI56" s="97">
        <v>17979884.67</v>
      </c>
      <c r="AJ56" s="97">
        <v>9742.0842</v>
      </c>
      <c r="AK56" s="141">
        <f>VLOOKUP(AA56,'FY 2008 TABLE 15'!$A$11:$M$146,6,FALSE)-AC56</f>
        <v>0</v>
      </c>
      <c r="AL56" s="141">
        <f>VLOOKUP(AA56,'FY 2008 TABLE 15'!$A$11:$M$146,7,FALSE)-AD56</f>
        <v>0</v>
      </c>
      <c r="AM56" s="141">
        <f>VLOOKUP(AA56,'FY 2008 TABLE 15'!$A$11:$M$146,10,FALSE)-AE56</f>
        <v>0</v>
      </c>
      <c r="AN56" s="141">
        <f>VLOOKUP(AA56,'FY 2008 TABLE 15'!$A$11:$M$146,11,FALSE)-AF56</f>
        <v>0.31129999999996016</v>
      </c>
      <c r="AO56" s="141">
        <f>VLOOKUP(AA56,'FY 2008 TABLE 15'!$A$11:$M$146,4,FALSE)-AG56</f>
        <v>0</v>
      </c>
      <c r="AP56" s="141">
        <f>VLOOKUP(AA56,'FY 2008 TABLE 15'!$A$11:$M$146,5,FALSE)-AH56</f>
        <v>0.31379999999990105</v>
      </c>
      <c r="AQ56" s="141">
        <f>VLOOKUP(AA56,'FY 2008 TABLE 15'!$A$11:$M$146,12,FALSE)-AI56</f>
        <v>0</v>
      </c>
      <c r="AR56" s="142">
        <f>VLOOKUP(AA56,'FY 2008 TABLE 15'!$A$11:$M$146,13,FALSE)-AJ56</f>
        <v>-0.0841999999993277</v>
      </c>
    </row>
    <row r="57" spans="1:44" ht="15.75">
      <c r="A57" s="46"/>
      <c r="B57" s="46"/>
      <c r="C57" s="46"/>
      <c r="D57" s="46"/>
      <c r="E57" s="46"/>
      <c r="F57" s="46"/>
      <c r="G57" s="46"/>
      <c r="H57" s="46"/>
      <c r="I57" s="132"/>
      <c r="J57" s="67"/>
      <c r="K57" s="45"/>
      <c r="L57" s="45"/>
      <c r="M57" s="45"/>
      <c r="N57" s="45"/>
      <c r="O57" s="45"/>
      <c r="P57" s="45"/>
      <c r="Q57" s="45"/>
      <c r="R57" s="45"/>
      <c r="S57" s="45"/>
      <c r="T57" s="45"/>
      <c r="U57" s="45"/>
      <c r="V57" s="45"/>
      <c r="W57" s="45"/>
      <c r="X57" s="45"/>
      <c r="Y57" s="45"/>
      <c r="Z57" s="45"/>
      <c r="AA57" s="193">
        <v>57</v>
      </c>
      <c r="AB57" s="194" t="s">
        <v>205</v>
      </c>
      <c r="AC57" s="97">
        <v>4802175.27</v>
      </c>
      <c r="AD57" s="97">
        <v>3758</v>
      </c>
      <c r="AE57" s="97">
        <v>731603.35</v>
      </c>
      <c r="AF57" s="97">
        <v>572.4671</v>
      </c>
      <c r="AG57" s="97">
        <v>5603213.06</v>
      </c>
      <c r="AH57" s="97">
        <v>4384.418</v>
      </c>
      <c r="AI57" s="97">
        <v>12226912.44</v>
      </c>
      <c r="AJ57" s="97">
        <v>9567.349</v>
      </c>
      <c r="AK57" s="141">
        <f>VLOOKUP(AA57,'FY 2008 TABLE 15'!$A$11:$M$146,6,FALSE)-AC57</f>
        <v>0</v>
      </c>
      <c r="AL57" s="141">
        <f>VLOOKUP(AA57,'FY 2008 TABLE 15'!$A$11:$M$146,7,FALSE)-AD57</f>
        <v>0</v>
      </c>
      <c r="AM57" s="141">
        <f>VLOOKUP(AA57,'FY 2008 TABLE 15'!$A$11:$M$146,10,FALSE)-AE57</f>
        <v>0</v>
      </c>
      <c r="AN57" s="141">
        <f>VLOOKUP(AA57,'FY 2008 TABLE 15'!$A$11:$M$146,11,FALSE)-AF57</f>
        <v>-0.46709999999995944</v>
      </c>
      <c r="AO57" s="141">
        <f>VLOOKUP(AA57,'FY 2008 TABLE 15'!$A$11:$M$146,4,FALSE)-AG57</f>
        <v>0</v>
      </c>
      <c r="AP57" s="141">
        <f>VLOOKUP(AA57,'FY 2008 TABLE 15'!$A$11:$M$146,5,FALSE)-AH57</f>
        <v>-0.4179999999996653</v>
      </c>
      <c r="AQ57" s="141">
        <f>VLOOKUP(AA57,'FY 2008 TABLE 15'!$A$11:$M$146,12,FALSE)-AI57</f>
        <v>0</v>
      </c>
      <c r="AR57" s="142">
        <f>VLOOKUP(AA57,'FY 2008 TABLE 15'!$A$11:$M$146,13,FALSE)-AJ57</f>
        <v>-0.34900000000016007</v>
      </c>
    </row>
    <row r="58" spans="1:44" ht="15.75">
      <c r="A58" s="46"/>
      <c r="B58" s="46"/>
      <c r="C58" s="46"/>
      <c r="D58" s="46"/>
      <c r="E58" s="46"/>
      <c r="F58" s="46"/>
      <c r="G58" s="46"/>
      <c r="H58" s="46"/>
      <c r="I58" s="132"/>
      <c r="J58" s="67"/>
      <c r="K58" s="45"/>
      <c r="L58" s="45"/>
      <c r="M58" s="45"/>
      <c r="N58" s="45"/>
      <c r="O58" s="45"/>
      <c r="P58" s="45"/>
      <c r="Q58" s="45"/>
      <c r="R58" s="45"/>
      <c r="S58" s="45"/>
      <c r="T58" s="45"/>
      <c r="U58" s="45"/>
      <c r="V58" s="45"/>
      <c r="W58" s="45"/>
      <c r="X58" s="45"/>
      <c r="Y58" s="45"/>
      <c r="Z58" s="45"/>
      <c r="AA58" s="193">
        <v>58</v>
      </c>
      <c r="AB58" s="194" t="s">
        <v>206</v>
      </c>
      <c r="AC58" s="97">
        <v>23329476.640000004</v>
      </c>
      <c r="AD58" s="97">
        <v>5008</v>
      </c>
      <c r="AE58" s="97">
        <v>4144818.57</v>
      </c>
      <c r="AF58" s="97">
        <v>889.7919</v>
      </c>
      <c r="AG58" s="97">
        <v>10919301.299999993</v>
      </c>
      <c r="AH58" s="97">
        <v>2344.1088</v>
      </c>
      <c r="AI58" s="97">
        <v>42344655.83</v>
      </c>
      <c r="AJ58" s="97">
        <v>9090.3693</v>
      </c>
      <c r="AK58" s="141">
        <f>VLOOKUP(AA58,'FY 2008 TABLE 15'!$A$11:$M$146,6,FALSE)-AC58</f>
        <v>0</v>
      </c>
      <c r="AL58" s="141">
        <f>VLOOKUP(AA58,'FY 2008 TABLE 15'!$A$11:$M$146,7,FALSE)-AD58</f>
        <v>0</v>
      </c>
      <c r="AM58" s="141">
        <f>VLOOKUP(AA58,'FY 2008 TABLE 15'!$A$11:$M$146,10,FALSE)-AE58</f>
        <v>0</v>
      </c>
      <c r="AN58" s="141">
        <f>VLOOKUP(AA58,'FY 2008 TABLE 15'!$A$11:$M$146,11,FALSE)-AF58</f>
        <v>0.20809999999994488</v>
      </c>
      <c r="AO58" s="141">
        <f>VLOOKUP(AA58,'FY 2008 TABLE 15'!$A$11:$M$146,4,FALSE)-AG58</f>
        <v>0</v>
      </c>
      <c r="AP58" s="141">
        <f>VLOOKUP(AA58,'FY 2008 TABLE 15'!$A$11:$M$146,5,FALSE)-AH58</f>
        <v>-0.1087999999999738</v>
      </c>
      <c r="AQ58" s="141">
        <f>VLOOKUP(AA58,'FY 2008 TABLE 15'!$A$11:$M$146,12,FALSE)-AI58</f>
        <v>0</v>
      </c>
      <c r="AR58" s="142">
        <f>VLOOKUP(AA58,'FY 2008 TABLE 15'!$A$11:$M$146,13,FALSE)-AJ58</f>
        <v>-0.36930000000029395</v>
      </c>
    </row>
    <row r="59" spans="1:44" ht="15.75">
      <c r="A59" s="46"/>
      <c r="B59" s="46"/>
      <c r="C59" s="46"/>
      <c r="D59" s="46"/>
      <c r="E59" s="46"/>
      <c r="F59" s="46"/>
      <c r="G59" s="46"/>
      <c r="H59" s="46"/>
      <c r="I59" s="132"/>
      <c r="J59" s="67"/>
      <c r="K59" s="45"/>
      <c r="L59" s="45"/>
      <c r="M59" s="45"/>
      <c r="N59" s="45"/>
      <c r="O59" s="45"/>
      <c r="P59" s="45"/>
      <c r="Q59" s="45"/>
      <c r="R59" s="45"/>
      <c r="S59" s="45"/>
      <c r="T59" s="45"/>
      <c r="U59" s="45"/>
      <c r="V59" s="45"/>
      <c r="W59" s="45"/>
      <c r="X59" s="45"/>
      <c r="Y59" s="45"/>
      <c r="Z59" s="45"/>
      <c r="AA59" s="193">
        <v>59</v>
      </c>
      <c r="AB59" s="194" t="s">
        <v>207</v>
      </c>
      <c r="AC59" s="97">
        <v>3592410.65</v>
      </c>
      <c r="AD59" s="97">
        <v>2862</v>
      </c>
      <c r="AE59" s="97">
        <v>888368.85</v>
      </c>
      <c r="AF59" s="97">
        <v>707.6663</v>
      </c>
      <c r="AG59" s="97">
        <v>6780453.6899999995</v>
      </c>
      <c r="AH59" s="97">
        <v>5401.2457</v>
      </c>
      <c r="AI59" s="97">
        <v>12496373.69</v>
      </c>
      <c r="AJ59" s="97">
        <v>9954.4939</v>
      </c>
      <c r="AK59" s="141">
        <f>VLOOKUP(AA59,'FY 2008 TABLE 15'!$A$11:$M$146,6,FALSE)-AC59</f>
        <v>0</v>
      </c>
      <c r="AL59" s="141">
        <f>VLOOKUP(AA59,'FY 2008 TABLE 15'!$A$11:$M$146,7,FALSE)-AD59</f>
        <v>0</v>
      </c>
      <c r="AM59" s="141">
        <f>VLOOKUP(AA59,'FY 2008 TABLE 15'!$A$11:$M$146,10,FALSE)-AE59</f>
        <v>0</v>
      </c>
      <c r="AN59" s="141">
        <f>VLOOKUP(AA59,'FY 2008 TABLE 15'!$A$11:$M$146,11,FALSE)-AF59</f>
        <v>0.33370000000002165</v>
      </c>
      <c r="AO59" s="141">
        <f>VLOOKUP(AA59,'FY 2008 TABLE 15'!$A$11:$M$146,4,FALSE)-AG59</f>
        <v>0</v>
      </c>
      <c r="AP59" s="141">
        <f>VLOOKUP(AA59,'FY 2008 TABLE 15'!$A$11:$M$146,5,FALSE)-AH59</f>
        <v>-0.24570000000039727</v>
      </c>
      <c r="AQ59" s="141">
        <f>VLOOKUP(AA59,'FY 2008 TABLE 15'!$A$11:$M$146,12,FALSE)-AI59</f>
        <v>0</v>
      </c>
      <c r="AR59" s="142">
        <f>VLOOKUP(AA59,'FY 2008 TABLE 15'!$A$11:$M$146,13,FALSE)-AJ59</f>
        <v>-0.49389999999948486</v>
      </c>
    </row>
    <row r="60" spans="1:44" ht="15.75">
      <c r="A60" s="46"/>
      <c r="B60" s="46"/>
      <c r="C60" s="46"/>
      <c r="D60" s="46"/>
      <c r="E60" s="46"/>
      <c r="F60" s="46"/>
      <c r="G60" s="46"/>
      <c r="H60" s="46"/>
      <c r="I60" s="132"/>
      <c r="J60" s="67"/>
      <c r="K60" s="45"/>
      <c r="L60" s="45"/>
      <c r="M60" s="45"/>
      <c r="N60" s="45"/>
      <c r="O60" s="45"/>
      <c r="P60" s="45"/>
      <c r="Q60" s="45"/>
      <c r="R60" s="45"/>
      <c r="S60" s="45"/>
      <c r="T60" s="45"/>
      <c r="U60" s="45"/>
      <c r="V60" s="45"/>
      <c r="W60" s="45"/>
      <c r="X60" s="45"/>
      <c r="Y60" s="45"/>
      <c r="Z60" s="45"/>
      <c r="AA60" s="193">
        <v>60</v>
      </c>
      <c r="AB60" s="194" t="s">
        <v>208</v>
      </c>
      <c r="AC60" s="97">
        <v>41053565.21</v>
      </c>
      <c r="AD60" s="97">
        <v>4281</v>
      </c>
      <c r="AE60" s="97">
        <v>6429254.26</v>
      </c>
      <c r="AF60" s="97">
        <v>670.4737</v>
      </c>
      <c r="AG60" s="97">
        <v>38654898.41</v>
      </c>
      <c r="AH60" s="97">
        <v>4031.1194</v>
      </c>
      <c r="AI60" s="97">
        <v>96174103.82</v>
      </c>
      <c r="AJ60" s="97">
        <v>10029.4997</v>
      </c>
      <c r="AK60" s="141">
        <f>VLOOKUP(AA60,'FY 2008 TABLE 15'!$A$11:$M$146,6,FALSE)-AC60</f>
        <v>0</v>
      </c>
      <c r="AL60" s="141">
        <f>VLOOKUP(AA60,'FY 2008 TABLE 15'!$A$11:$M$146,7,FALSE)-AD60</f>
        <v>0</v>
      </c>
      <c r="AM60" s="141">
        <f>VLOOKUP(AA60,'FY 2008 TABLE 15'!$A$11:$M$146,10,FALSE)-AE60</f>
        <v>0</v>
      </c>
      <c r="AN60" s="141">
        <f>VLOOKUP(AA60,'FY 2008 TABLE 15'!$A$11:$M$146,11,FALSE)-AF60</f>
        <v>-0.473700000000008</v>
      </c>
      <c r="AO60" s="141">
        <f>VLOOKUP(AA60,'FY 2008 TABLE 15'!$A$11:$M$146,4,FALSE)-AG60</f>
        <v>-2222806.7299999744</v>
      </c>
      <c r="AP60" s="141">
        <f>VLOOKUP(AA60,'FY 2008 TABLE 15'!$A$11:$M$146,5,FALSE)-AH60</f>
        <v>-232.11940000000004</v>
      </c>
      <c r="AQ60" s="141">
        <f>VLOOKUP(AA60,'FY 2008 TABLE 15'!$A$11:$M$146,12,FALSE)-AI60</f>
        <v>-2222806.7299999893</v>
      </c>
      <c r="AR60" s="142">
        <f>VLOOKUP(AA60,'FY 2008 TABLE 15'!$A$11:$M$146,13,FALSE)-AJ60</f>
        <v>-231.4997000000003</v>
      </c>
    </row>
    <row r="61" spans="1:44" ht="15.75">
      <c r="A61" s="46"/>
      <c r="B61" s="46"/>
      <c r="C61" s="46"/>
      <c r="D61" s="46"/>
      <c r="E61" s="46"/>
      <c r="F61" s="46"/>
      <c r="G61" s="46"/>
      <c r="H61" s="46"/>
      <c r="I61" s="132"/>
      <c r="J61" s="67"/>
      <c r="K61" s="45"/>
      <c r="L61" s="45"/>
      <c r="M61" s="45"/>
      <c r="N61" s="45"/>
      <c r="O61" s="45"/>
      <c r="P61" s="45"/>
      <c r="Q61" s="45"/>
      <c r="R61" s="45"/>
      <c r="S61" s="45"/>
      <c r="T61" s="45"/>
      <c r="U61" s="45"/>
      <c r="V61" s="45"/>
      <c r="W61" s="45"/>
      <c r="X61" s="45"/>
      <c r="Y61" s="45"/>
      <c r="Z61" s="45"/>
      <c r="AA61" s="193">
        <v>62</v>
      </c>
      <c r="AB61" s="194" t="s">
        <v>209</v>
      </c>
      <c r="AC61" s="97">
        <v>7958927.329999999</v>
      </c>
      <c r="AD61" s="97">
        <v>3892</v>
      </c>
      <c r="AE61" s="97">
        <v>1800639.11</v>
      </c>
      <c r="AF61" s="97">
        <v>880.542</v>
      </c>
      <c r="AG61" s="97">
        <v>10546999.540000001</v>
      </c>
      <c r="AH61" s="97">
        <v>5157.6553</v>
      </c>
      <c r="AI61" s="97">
        <v>22437653.7</v>
      </c>
      <c r="AJ61" s="97">
        <v>10972.3796</v>
      </c>
      <c r="AK61" s="141">
        <f>VLOOKUP(AA61,'FY 2008 TABLE 15'!$A$11:$M$146,6,FALSE)-AC61</f>
        <v>0</v>
      </c>
      <c r="AL61" s="141">
        <f>VLOOKUP(AA61,'FY 2008 TABLE 15'!$A$11:$M$146,7,FALSE)-AD61</f>
        <v>0</v>
      </c>
      <c r="AM61" s="141">
        <f>VLOOKUP(AA61,'FY 2008 TABLE 15'!$A$11:$M$146,10,FALSE)-AE61</f>
        <v>0</v>
      </c>
      <c r="AN61" s="141">
        <f>VLOOKUP(AA61,'FY 2008 TABLE 15'!$A$11:$M$146,11,FALSE)-AF61</f>
        <v>0.45799999999997</v>
      </c>
      <c r="AO61" s="141">
        <f>VLOOKUP(AA61,'FY 2008 TABLE 15'!$A$11:$M$146,4,FALSE)-AG61</f>
        <v>0</v>
      </c>
      <c r="AP61" s="141">
        <f>VLOOKUP(AA61,'FY 2008 TABLE 15'!$A$11:$M$146,5,FALSE)-AH61</f>
        <v>0.34469999999964784</v>
      </c>
      <c r="AQ61" s="141">
        <f>VLOOKUP(AA61,'FY 2008 TABLE 15'!$A$11:$M$146,12,FALSE)-AI61</f>
        <v>0</v>
      </c>
      <c r="AR61" s="142">
        <f>VLOOKUP(AA61,'FY 2008 TABLE 15'!$A$11:$M$146,13,FALSE)-AJ61</f>
        <v>-0.37960000000020955</v>
      </c>
    </row>
    <row r="62" spans="1:44" ht="15.75">
      <c r="A62" s="46"/>
      <c r="B62" s="46"/>
      <c r="C62" s="46"/>
      <c r="D62" s="46"/>
      <c r="E62" s="46"/>
      <c r="F62" s="46"/>
      <c r="G62" s="46"/>
      <c r="H62" s="46"/>
      <c r="I62" s="132"/>
      <c r="J62" s="67"/>
      <c r="K62" s="45"/>
      <c r="L62" s="45"/>
      <c r="M62" s="45"/>
      <c r="N62" s="45"/>
      <c r="O62" s="45"/>
      <c r="P62" s="45"/>
      <c r="Q62" s="45"/>
      <c r="R62" s="45"/>
      <c r="S62" s="45"/>
      <c r="T62" s="45"/>
      <c r="U62" s="45"/>
      <c r="V62" s="45"/>
      <c r="W62" s="45"/>
      <c r="X62" s="45"/>
      <c r="Y62" s="45"/>
      <c r="Z62" s="45"/>
      <c r="AA62" s="193">
        <v>63</v>
      </c>
      <c r="AB62" s="194" t="s">
        <v>210</v>
      </c>
      <c r="AC62" s="97">
        <v>10608151.090000002</v>
      </c>
      <c r="AD62" s="97">
        <v>3903</v>
      </c>
      <c r="AE62" s="97">
        <v>959716.85</v>
      </c>
      <c r="AF62" s="97">
        <v>353.07</v>
      </c>
      <c r="AG62" s="97">
        <v>10772548.549999997</v>
      </c>
      <c r="AH62" s="97">
        <v>3963.1103</v>
      </c>
      <c r="AI62" s="97">
        <v>24930710.31</v>
      </c>
      <c r="AJ62" s="97">
        <v>9171.7529</v>
      </c>
      <c r="AK62" s="141">
        <f>VLOOKUP(AA62,'FY 2008 TABLE 15'!$A$11:$M$146,6,FALSE)-AC62</f>
        <v>0</v>
      </c>
      <c r="AL62" s="141">
        <f>VLOOKUP(AA62,'FY 2008 TABLE 15'!$A$11:$M$146,7,FALSE)-AD62</f>
        <v>0</v>
      </c>
      <c r="AM62" s="141">
        <f>VLOOKUP(AA62,'FY 2008 TABLE 15'!$A$11:$M$146,10,FALSE)-AE62</f>
        <v>0</v>
      </c>
      <c r="AN62" s="141">
        <f>VLOOKUP(AA62,'FY 2008 TABLE 15'!$A$11:$M$146,11,FALSE)-AF62</f>
        <v>-0.06999999999999318</v>
      </c>
      <c r="AO62" s="141">
        <f>VLOOKUP(AA62,'FY 2008 TABLE 15'!$A$11:$M$146,4,FALSE)-AG62</f>
        <v>0</v>
      </c>
      <c r="AP62" s="141">
        <f>VLOOKUP(AA62,'FY 2008 TABLE 15'!$A$11:$M$146,5,FALSE)-AH62</f>
        <v>-0.11029999999982465</v>
      </c>
      <c r="AQ62" s="141">
        <f>VLOOKUP(AA62,'FY 2008 TABLE 15'!$A$11:$M$146,12,FALSE)-AI62</f>
        <v>0</v>
      </c>
      <c r="AR62" s="142">
        <f>VLOOKUP(AA62,'FY 2008 TABLE 15'!$A$11:$M$146,13,FALSE)-AJ62</f>
        <v>0.24710000000050059</v>
      </c>
    </row>
    <row r="63" spans="1:44" ht="15.75">
      <c r="A63" s="46"/>
      <c r="B63" s="46"/>
      <c r="C63" s="46"/>
      <c r="D63" s="46"/>
      <c r="E63" s="46"/>
      <c r="F63" s="46"/>
      <c r="G63" s="46"/>
      <c r="H63" s="46"/>
      <c r="I63" s="132"/>
      <c r="J63" s="67"/>
      <c r="K63" s="45"/>
      <c r="L63" s="45"/>
      <c r="M63" s="45"/>
      <c r="N63" s="45"/>
      <c r="O63" s="45"/>
      <c r="P63" s="45"/>
      <c r="Q63" s="45"/>
      <c r="R63" s="45"/>
      <c r="S63" s="45"/>
      <c r="T63" s="45"/>
      <c r="U63" s="45"/>
      <c r="V63" s="45"/>
      <c r="W63" s="45"/>
      <c r="X63" s="45"/>
      <c r="Y63" s="45"/>
      <c r="Z63" s="45"/>
      <c r="AA63" s="193">
        <v>65</v>
      </c>
      <c r="AB63" s="194" t="s">
        <v>211</v>
      </c>
      <c r="AC63" s="97">
        <v>9591843.1</v>
      </c>
      <c r="AD63" s="97">
        <v>5313</v>
      </c>
      <c r="AE63" s="97">
        <v>2418747.51</v>
      </c>
      <c r="AF63" s="97">
        <v>1339.8202</v>
      </c>
      <c r="AG63" s="97">
        <v>7776265.560000002</v>
      </c>
      <c r="AH63" s="97">
        <v>4307.5177</v>
      </c>
      <c r="AI63" s="97">
        <v>21571977.990000002</v>
      </c>
      <c r="AJ63" s="97">
        <v>11949.3961</v>
      </c>
      <c r="AK63" s="141">
        <f>VLOOKUP(AA63,'FY 2008 TABLE 15'!$A$11:$M$146,6,FALSE)-AC63</f>
        <v>0</v>
      </c>
      <c r="AL63" s="141">
        <f>VLOOKUP(AA63,'FY 2008 TABLE 15'!$A$11:$M$146,7,FALSE)-AD63</f>
        <v>0</v>
      </c>
      <c r="AM63" s="141">
        <f>VLOOKUP(AA63,'FY 2008 TABLE 15'!$A$11:$M$146,10,FALSE)-AE63</f>
        <v>0</v>
      </c>
      <c r="AN63" s="141">
        <f>VLOOKUP(AA63,'FY 2008 TABLE 15'!$A$11:$M$146,11,FALSE)-AF63</f>
        <v>0.1797999999998865</v>
      </c>
      <c r="AO63" s="141">
        <f>VLOOKUP(AA63,'FY 2008 TABLE 15'!$A$11:$M$146,4,FALSE)-AG63</f>
        <v>0</v>
      </c>
      <c r="AP63" s="141">
        <f>VLOOKUP(AA63,'FY 2008 TABLE 15'!$A$11:$M$146,5,FALSE)-AH63</f>
        <v>0.4822999999996682</v>
      </c>
      <c r="AQ63" s="141">
        <f>VLOOKUP(AA63,'FY 2008 TABLE 15'!$A$11:$M$146,12,FALSE)-AI63</f>
        <v>0</v>
      </c>
      <c r="AR63" s="142">
        <f>VLOOKUP(AA63,'FY 2008 TABLE 15'!$A$11:$M$146,13,FALSE)-AJ63</f>
        <v>-0.39609999999993306</v>
      </c>
    </row>
    <row r="64" spans="1:44" ht="15.75">
      <c r="A64" s="46"/>
      <c r="B64" s="46"/>
      <c r="C64" s="46"/>
      <c r="D64" s="46"/>
      <c r="E64" s="46"/>
      <c r="F64" s="46"/>
      <c r="G64" s="46"/>
      <c r="H64" s="46"/>
      <c r="I64" s="132"/>
      <c r="J64" s="67"/>
      <c r="K64" s="45"/>
      <c r="L64" s="45"/>
      <c r="M64" s="45"/>
      <c r="N64" s="45"/>
      <c r="O64" s="45"/>
      <c r="P64" s="45"/>
      <c r="Q64" s="45"/>
      <c r="R64" s="45"/>
      <c r="S64" s="45"/>
      <c r="T64" s="45"/>
      <c r="U64" s="45"/>
      <c r="V64" s="45"/>
      <c r="W64" s="45"/>
      <c r="X64" s="45"/>
      <c r="Y64" s="45"/>
      <c r="Z64" s="45"/>
      <c r="AA64" s="193">
        <v>66</v>
      </c>
      <c r="AB64" s="194" t="s">
        <v>212</v>
      </c>
      <c r="AC64" s="97">
        <v>3778565.58</v>
      </c>
      <c r="AD64" s="97">
        <v>2635</v>
      </c>
      <c r="AE64" s="97">
        <v>1348360.73</v>
      </c>
      <c r="AF64" s="97">
        <v>940.3384</v>
      </c>
      <c r="AG64" s="97">
        <v>8110176.6</v>
      </c>
      <c r="AH64" s="97">
        <v>5655.987</v>
      </c>
      <c r="AI64" s="97">
        <v>14665829.99</v>
      </c>
      <c r="AJ64" s="97">
        <v>10227.8592</v>
      </c>
      <c r="AK64" s="141">
        <f>VLOOKUP(AA64,'FY 2008 TABLE 15'!$A$11:$M$146,6,FALSE)-AC64</f>
        <v>0</v>
      </c>
      <c r="AL64" s="141">
        <f>VLOOKUP(AA64,'FY 2008 TABLE 15'!$A$11:$M$146,7,FALSE)-AD64</f>
        <v>0</v>
      </c>
      <c r="AM64" s="141">
        <f>VLOOKUP(AA64,'FY 2008 TABLE 15'!$A$11:$M$146,10,FALSE)-AE64</f>
        <v>0</v>
      </c>
      <c r="AN64" s="141">
        <f>VLOOKUP(AA64,'FY 2008 TABLE 15'!$A$11:$M$146,11,FALSE)-AF64</f>
        <v>-0.3383999999999787</v>
      </c>
      <c r="AO64" s="141">
        <f>VLOOKUP(AA64,'FY 2008 TABLE 15'!$A$11:$M$146,4,FALSE)-AG64</f>
        <v>0</v>
      </c>
      <c r="AP64" s="141">
        <f>VLOOKUP(AA64,'FY 2008 TABLE 15'!$A$11:$M$146,5,FALSE)-AH64</f>
        <v>0.012999999999919964</v>
      </c>
      <c r="AQ64" s="141">
        <f>VLOOKUP(AA64,'FY 2008 TABLE 15'!$A$11:$M$146,12,FALSE)-AI64</f>
        <v>0</v>
      </c>
      <c r="AR64" s="142">
        <f>VLOOKUP(AA64,'FY 2008 TABLE 15'!$A$11:$M$146,13,FALSE)-AJ64</f>
        <v>0.1407999999992171</v>
      </c>
    </row>
    <row r="65" spans="1:44" ht="15.75">
      <c r="A65" s="46"/>
      <c r="B65" s="46"/>
      <c r="C65" s="46"/>
      <c r="D65" s="46"/>
      <c r="E65" s="46"/>
      <c r="F65" s="46"/>
      <c r="G65" s="46"/>
      <c r="H65" s="46"/>
      <c r="I65" s="132"/>
      <c r="J65" s="67"/>
      <c r="K65" s="45"/>
      <c r="L65" s="45"/>
      <c r="M65" s="45"/>
      <c r="N65" s="45"/>
      <c r="O65" s="45"/>
      <c r="P65" s="45"/>
      <c r="Q65" s="45"/>
      <c r="R65" s="45"/>
      <c r="S65" s="45"/>
      <c r="T65" s="45"/>
      <c r="U65" s="45"/>
      <c r="V65" s="45"/>
      <c r="W65" s="45"/>
      <c r="X65" s="45"/>
      <c r="Y65" s="45"/>
      <c r="Z65" s="45"/>
      <c r="AA65" s="193">
        <v>67</v>
      </c>
      <c r="AB65" s="194" t="s">
        <v>213</v>
      </c>
      <c r="AC65" s="97">
        <v>12666931.29</v>
      </c>
      <c r="AD65" s="97">
        <v>5699</v>
      </c>
      <c r="AE65" s="97">
        <v>3227704.33</v>
      </c>
      <c r="AF65" s="97">
        <v>1452.2274</v>
      </c>
      <c r="AG65" s="97">
        <v>4181150.57</v>
      </c>
      <c r="AH65" s="97">
        <v>1881.2074</v>
      </c>
      <c r="AI65" s="97">
        <v>22273393.97</v>
      </c>
      <c r="AJ65" s="97">
        <v>10021.3741</v>
      </c>
      <c r="AK65" s="141">
        <f>VLOOKUP(AA65,'FY 2008 TABLE 15'!$A$11:$M$146,6,FALSE)-AC65</f>
        <v>-277696.9299999997</v>
      </c>
      <c r="AL65" s="141">
        <f>VLOOKUP(AA65,'FY 2008 TABLE 15'!$A$11:$M$146,7,FALSE)-AD65</f>
        <v>-125</v>
      </c>
      <c r="AM65" s="141">
        <f>VLOOKUP(AA65,'FY 2008 TABLE 15'!$A$11:$M$146,10,FALSE)-AE65</f>
        <v>0</v>
      </c>
      <c r="AN65" s="141">
        <f>VLOOKUP(AA65,'FY 2008 TABLE 15'!$A$11:$M$146,11,FALSE)-AF65</f>
        <v>-0.22739999999998872</v>
      </c>
      <c r="AO65" s="141">
        <f>VLOOKUP(AA65,'FY 2008 TABLE 15'!$A$11:$M$146,4,FALSE)-AG65</f>
        <v>555494.73</v>
      </c>
      <c r="AP65" s="141">
        <f>VLOOKUP(AA65,'FY 2008 TABLE 15'!$A$11:$M$146,5,FALSE)-AH65</f>
        <v>249.7926</v>
      </c>
      <c r="AQ65" s="141">
        <f>VLOOKUP(AA65,'FY 2008 TABLE 15'!$A$11:$M$146,12,FALSE)-AI65</f>
        <v>277797.80000000075</v>
      </c>
      <c r="AR65" s="142">
        <f>VLOOKUP(AA65,'FY 2008 TABLE 15'!$A$11:$M$146,13,FALSE)-AJ65</f>
        <v>124.62589999999909</v>
      </c>
    </row>
    <row r="66" spans="1:44" s="69" customFormat="1" ht="15.75">
      <c r="A66" s="46"/>
      <c r="B66" s="46"/>
      <c r="C66" s="46"/>
      <c r="D66" s="46"/>
      <c r="E66" s="46"/>
      <c r="F66" s="46"/>
      <c r="G66" s="46"/>
      <c r="H66" s="46"/>
      <c r="I66" s="132"/>
      <c r="J66" s="67"/>
      <c r="K66" s="45"/>
      <c r="L66" s="45"/>
      <c r="M66" s="45"/>
      <c r="N66" s="45"/>
      <c r="O66" s="45"/>
      <c r="P66" s="45"/>
      <c r="Q66" s="45"/>
      <c r="R66" s="45"/>
      <c r="S66" s="45"/>
      <c r="T66" s="45"/>
      <c r="U66" s="45"/>
      <c r="V66" s="45"/>
      <c r="W66" s="45"/>
      <c r="X66" s="45"/>
      <c r="Y66" s="45"/>
      <c r="Z66" s="45"/>
      <c r="AA66" s="193">
        <v>68</v>
      </c>
      <c r="AB66" s="194" t="s">
        <v>214</v>
      </c>
      <c r="AC66" s="97">
        <v>20209773.8</v>
      </c>
      <c r="AD66" s="97">
        <v>4005</v>
      </c>
      <c r="AE66" s="97">
        <v>2579210.23</v>
      </c>
      <c r="AF66" s="97">
        <v>511.161</v>
      </c>
      <c r="AG66" s="97">
        <v>17806700.509999998</v>
      </c>
      <c r="AH66" s="97">
        <v>3529.0226</v>
      </c>
      <c r="AI66" s="97">
        <v>44875670.68</v>
      </c>
      <c r="AJ66" s="97">
        <v>8893.689</v>
      </c>
      <c r="AK66" s="141">
        <f>VLOOKUP(AA66,'FY 2008 TABLE 15'!$A$11:$M$146,6,FALSE)-AC66</f>
        <v>0</v>
      </c>
      <c r="AL66" s="141">
        <f>VLOOKUP(AA66,'FY 2008 TABLE 15'!$A$11:$M$146,7,FALSE)-AD66</f>
        <v>0</v>
      </c>
      <c r="AM66" s="141">
        <f>VLOOKUP(AA66,'FY 2008 TABLE 15'!$A$11:$M$146,10,FALSE)-AE66</f>
        <v>0</v>
      </c>
      <c r="AN66" s="141">
        <f>VLOOKUP(AA66,'FY 2008 TABLE 15'!$A$11:$M$146,11,FALSE)-AF66</f>
        <v>-0.16100000000000136</v>
      </c>
      <c r="AO66" s="141">
        <f>VLOOKUP(AA66,'FY 2008 TABLE 15'!$A$11:$M$146,4,FALSE)-AG66</f>
        <v>0</v>
      </c>
      <c r="AP66" s="141">
        <f>VLOOKUP(AA66,'FY 2008 TABLE 15'!$A$11:$M$146,5,FALSE)-AH66</f>
        <v>-0.022599999999783904</v>
      </c>
      <c r="AQ66" s="141">
        <f>VLOOKUP(AA66,'FY 2008 TABLE 15'!$A$11:$M$146,12,FALSE)-AI66</f>
        <v>0</v>
      </c>
      <c r="AR66" s="142">
        <f>VLOOKUP(AA66,'FY 2008 TABLE 15'!$A$11:$M$146,13,FALSE)-AJ66</f>
        <v>0.3109999999996944</v>
      </c>
    </row>
    <row r="67" spans="1:44" s="69" customFormat="1" ht="15.75">
      <c r="A67" s="46"/>
      <c r="B67" s="46"/>
      <c r="C67" s="46"/>
      <c r="D67" s="46"/>
      <c r="E67" s="46"/>
      <c r="F67" s="46"/>
      <c r="G67" s="46"/>
      <c r="H67" s="46"/>
      <c r="I67" s="132"/>
      <c r="J67" s="67"/>
      <c r="K67" s="45"/>
      <c r="L67" s="45"/>
      <c r="M67" s="45"/>
      <c r="N67" s="45"/>
      <c r="O67" s="45"/>
      <c r="P67" s="45"/>
      <c r="Q67" s="45"/>
      <c r="R67" s="45"/>
      <c r="S67" s="45"/>
      <c r="T67" s="45"/>
      <c r="U67" s="45"/>
      <c r="V67" s="45"/>
      <c r="W67" s="45"/>
      <c r="X67" s="45"/>
      <c r="Y67" s="45"/>
      <c r="Z67" s="45"/>
      <c r="AA67" s="193">
        <v>69</v>
      </c>
      <c r="AB67" s="194" t="s">
        <v>215</v>
      </c>
      <c r="AC67" s="97">
        <v>19947292.939999998</v>
      </c>
      <c r="AD67" s="97">
        <v>5592</v>
      </c>
      <c r="AE67" s="97">
        <v>2559094.14</v>
      </c>
      <c r="AF67" s="97">
        <v>717.4159</v>
      </c>
      <c r="AG67" s="97">
        <v>9847247.720000003</v>
      </c>
      <c r="AH67" s="97">
        <v>2760.5752</v>
      </c>
      <c r="AI67" s="97">
        <v>35441099.9</v>
      </c>
      <c r="AJ67" s="97">
        <v>9935.55</v>
      </c>
      <c r="AK67" s="141">
        <f>VLOOKUP(AA67,'FY 2008 TABLE 15'!$A$11:$M$146,6,FALSE)-AC67</f>
        <v>0</v>
      </c>
      <c r="AL67" s="141">
        <f>VLOOKUP(AA67,'FY 2008 TABLE 15'!$A$11:$M$146,7,FALSE)-AD67</f>
        <v>0</v>
      </c>
      <c r="AM67" s="141">
        <f>VLOOKUP(AA67,'FY 2008 TABLE 15'!$A$11:$M$146,10,FALSE)-AE67</f>
        <v>0</v>
      </c>
      <c r="AN67" s="141">
        <f>VLOOKUP(AA67,'FY 2008 TABLE 15'!$A$11:$M$146,11,FALSE)-AF67</f>
        <v>-0.4158999999999651</v>
      </c>
      <c r="AO67" s="141">
        <f>VLOOKUP(AA67,'FY 2008 TABLE 15'!$A$11:$M$146,4,FALSE)-AG67</f>
        <v>0</v>
      </c>
      <c r="AP67" s="141">
        <f>VLOOKUP(AA67,'FY 2008 TABLE 15'!$A$11:$M$146,5,FALSE)-AH67</f>
        <v>0.42479999999977736</v>
      </c>
      <c r="AQ67" s="141">
        <f>VLOOKUP(AA67,'FY 2008 TABLE 15'!$A$11:$M$146,12,FALSE)-AI67</f>
        <v>0</v>
      </c>
      <c r="AR67" s="142">
        <f>VLOOKUP(AA67,'FY 2008 TABLE 15'!$A$11:$M$146,13,FALSE)-AJ67</f>
        <v>0.4500000000007276</v>
      </c>
    </row>
    <row r="68" spans="1:44" s="69" customFormat="1" ht="15.75">
      <c r="A68" s="46"/>
      <c r="B68" s="46"/>
      <c r="C68" s="46"/>
      <c r="D68" s="46"/>
      <c r="E68" s="46"/>
      <c r="F68" s="46"/>
      <c r="G68" s="46"/>
      <c r="H68" s="46"/>
      <c r="I68" s="132"/>
      <c r="J68" s="67"/>
      <c r="K68" s="45"/>
      <c r="L68" s="45"/>
      <c r="M68" s="45"/>
      <c r="N68" s="45"/>
      <c r="O68" s="45"/>
      <c r="P68" s="45"/>
      <c r="Q68" s="45"/>
      <c r="R68" s="45"/>
      <c r="S68" s="45"/>
      <c r="T68" s="45"/>
      <c r="U68" s="45"/>
      <c r="V68" s="45"/>
      <c r="W68" s="45"/>
      <c r="X68" s="45"/>
      <c r="Y68" s="45"/>
      <c r="Z68" s="45"/>
      <c r="AA68" s="193">
        <v>70</v>
      </c>
      <c r="AB68" s="194" t="s">
        <v>216</v>
      </c>
      <c r="AC68" s="97">
        <v>14128904.28</v>
      </c>
      <c r="AD68" s="97">
        <v>5510</v>
      </c>
      <c r="AE68" s="97">
        <v>2410530.76</v>
      </c>
      <c r="AF68" s="97">
        <v>939.9939</v>
      </c>
      <c r="AG68" s="97">
        <v>5809354.230000001</v>
      </c>
      <c r="AH68" s="97">
        <v>2265.3756</v>
      </c>
      <c r="AI68" s="97">
        <v>24749550.23</v>
      </c>
      <c r="AJ68" s="97">
        <v>9651.1634</v>
      </c>
      <c r="AK68" s="141">
        <f>VLOOKUP(AA68,'FY 2008 TABLE 15'!$A$11:$M$146,6,FALSE)-AC68</f>
        <v>0</v>
      </c>
      <c r="AL68" s="141">
        <f>VLOOKUP(AA68,'FY 2008 TABLE 15'!$A$11:$M$146,7,FALSE)-AD68</f>
        <v>0</v>
      </c>
      <c r="AM68" s="141">
        <f>VLOOKUP(AA68,'FY 2008 TABLE 15'!$A$11:$M$146,10,FALSE)-AE68</f>
        <v>0</v>
      </c>
      <c r="AN68" s="141">
        <f>VLOOKUP(AA68,'FY 2008 TABLE 15'!$A$11:$M$146,11,FALSE)-AF68</f>
        <v>0.006099999999946704</v>
      </c>
      <c r="AO68" s="141">
        <f>VLOOKUP(AA68,'FY 2008 TABLE 15'!$A$11:$M$146,4,FALSE)-AG68</f>
        <v>0</v>
      </c>
      <c r="AP68" s="141">
        <f>VLOOKUP(AA68,'FY 2008 TABLE 15'!$A$11:$M$146,5,FALSE)-AH68</f>
        <v>-0.3755999999998494</v>
      </c>
      <c r="AQ68" s="141">
        <f>VLOOKUP(AA68,'FY 2008 TABLE 15'!$A$11:$M$146,12,FALSE)-AI68</f>
        <v>0</v>
      </c>
      <c r="AR68" s="142">
        <f>VLOOKUP(AA68,'FY 2008 TABLE 15'!$A$11:$M$146,13,FALSE)-AJ68</f>
        <v>-0.16339999999945576</v>
      </c>
    </row>
    <row r="69" spans="1:44" s="69" customFormat="1" ht="15.75">
      <c r="A69" s="46"/>
      <c r="B69" s="46"/>
      <c r="C69" s="46"/>
      <c r="D69" s="46"/>
      <c r="E69" s="46"/>
      <c r="F69" s="46"/>
      <c r="G69" s="46"/>
      <c r="H69" s="46"/>
      <c r="I69" s="132"/>
      <c r="J69" s="67"/>
      <c r="K69" s="45"/>
      <c r="L69" s="45"/>
      <c r="M69" s="45"/>
      <c r="N69" s="45"/>
      <c r="O69" s="45"/>
      <c r="P69" s="45"/>
      <c r="Q69" s="45"/>
      <c r="R69" s="45"/>
      <c r="S69" s="45"/>
      <c r="T69" s="45"/>
      <c r="U69" s="45"/>
      <c r="V69" s="45"/>
      <c r="W69" s="45"/>
      <c r="X69" s="45"/>
      <c r="Y69" s="45"/>
      <c r="Z69" s="45"/>
      <c r="AA69" s="193">
        <v>71</v>
      </c>
      <c r="AB69" s="194" t="s">
        <v>217</v>
      </c>
      <c r="AC69" s="97">
        <v>44730795.010000005</v>
      </c>
      <c r="AD69" s="97">
        <v>4925</v>
      </c>
      <c r="AE69" s="97">
        <v>7787211.6000000015</v>
      </c>
      <c r="AF69" s="97">
        <v>857.4231</v>
      </c>
      <c r="AG69" s="97">
        <v>17330611.769999992</v>
      </c>
      <c r="AH69" s="97">
        <v>1908.2141</v>
      </c>
      <c r="AI69" s="97">
        <v>78492284.86</v>
      </c>
      <c r="AJ69" s="97">
        <v>8642.5156</v>
      </c>
      <c r="AK69" s="141">
        <f>VLOOKUP(AA69,'FY 2008 TABLE 15'!$A$11:$M$146,6,FALSE)-AC69</f>
        <v>0</v>
      </c>
      <c r="AL69" s="141">
        <f>VLOOKUP(AA69,'FY 2008 TABLE 15'!$A$11:$M$146,7,FALSE)-AD69</f>
        <v>0</v>
      </c>
      <c r="AM69" s="141">
        <f>VLOOKUP(AA69,'FY 2008 TABLE 15'!$A$11:$M$146,10,FALSE)-AE69</f>
        <v>0</v>
      </c>
      <c r="AN69" s="141">
        <f>VLOOKUP(AA69,'FY 2008 TABLE 15'!$A$11:$M$146,11,FALSE)-AF69</f>
        <v>-0.4230999999999767</v>
      </c>
      <c r="AO69" s="141">
        <f>VLOOKUP(AA69,'FY 2008 TABLE 15'!$A$11:$M$146,4,FALSE)-AG69</f>
        <v>0</v>
      </c>
      <c r="AP69" s="141">
        <f>VLOOKUP(AA69,'FY 2008 TABLE 15'!$A$11:$M$146,5,FALSE)-AH69</f>
        <v>-0.2140999999999167</v>
      </c>
      <c r="AQ69" s="141">
        <f>VLOOKUP(AA69,'FY 2008 TABLE 15'!$A$11:$M$146,12,FALSE)-AI69</f>
        <v>0</v>
      </c>
      <c r="AR69" s="142">
        <f>VLOOKUP(AA69,'FY 2008 TABLE 15'!$A$11:$M$146,13,FALSE)-AJ69</f>
        <v>0.48439999999936845</v>
      </c>
    </row>
    <row r="70" spans="1:44" s="69" customFormat="1" ht="15.75">
      <c r="A70" s="46"/>
      <c r="B70" s="46"/>
      <c r="C70" s="46"/>
      <c r="D70" s="46"/>
      <c r="E70" s="46"/>
      <c r="F70" s="46"/>
      <c r="G70" s="46"/>
      <c r="H70" s="46"/>
      <c r="I70" s="132"/>
      <c r="J70" s="67"/>
      <c r="K70" s="45"/>
      <c r="L70" s="45"/>
      <c r="M70" s="45"/>
      <c r="N70" s="45"/>
      <c r="O70" s="45"/>
      <c r="P70" s="45"/>
      <c r="Q70" s="45"/>
      <c r="R70" s="45"/>
      <c r="S70" s="45"/>
      <c r="T70" s="45"/>
      <c r="U70" s="45"/>
      <c r="V70" s="45"/>
      <c r="W70" s="45"/>
      <c r="X70" s="45"/>
      <c r="Y70" s="45"/>
      <c r="Z70" s="45"/>
      <c r="AA70" s="193">
        <v>72</v>
      </c>
      <c r="AB70" s="194" t="s">
        <v>218</v>
      </c>
      <c r="AC70" s="97">
        <v>17577204.38</v>
      </c>
      <c r="AD70" s="97">
        <v>4042</v>
      </c>
      <c r="AE70" s="97">
        <v>1527890.74</v>
      </c>
      <c r="AF70" s="97">
        <v>351.3679</v>
      </c>
      <c r="AG70" s="97">
        <v>20036353.410000004</v>
      </c>
      <c r="AH70" s="97">
        <v>4607.7456</v>
      </c>
      <c r="AI70" s="97">
        <v>42994752.49</v>
      </c>
      <c r="AJ70" s="97">
        <v>9887.472</v>
      </c>
      <c r="AK70" s="141">
        <f>VLOOKUP(AA70,'FY 2008 TABLE 15'!$A$11:$M$146,6,FALSE)-AC70</f>
        <v>0</v>
      </c>
      <c r="AL70" s="141">
        <f>VLOOKUP(AA70,'FY 2008 TABLE 15'!$A$11:$M$146,7,FALSE)-AD70</f>
        <v>0</v>
      </c>
      <c r="AM70" s="141">
        <f>VLOOKUP(AA70,'FY 2008 TABLE 15'!$A$11:$M$146,10,FALSE)-AE70</f>
        <v>0</v>
      </c>
      <c r="AN70" s="141">
        <f>VLOOKUP(AA70,'FY 2008 TABLE 15'!$A$11:$M$146,11,FALSE)-AF70</f>
        <v>-0.3679000000000201</v>
      </c>
      <c r="AO70" s="141">
        <f>VLOOKUP(AA70,'FY 2008 TABLE 15'!$A$11:$M$146,4,FALSE)-AG70</f>
        <v>0</v>
      </c>
      <c r="AP70" s="141">
        <f>VLOOKUP(AA70,'FY 2008 TABLE 15'!$A$11:$M$146,5,FALSE)-AH70</f>
        <v>0.254399999999805</v>
      </c>
      <c r="AQ70" s="141">
        <f>VLOOKUP(AA70,'FY 2008 TABLE 15'!$A$11:$M$146,12,FALSE)-AI70</f>
        <v>0</v>
      </c>
      <c r="AR70" s="142">
        <f>VLOOKUP(AA70,'FY 2008 TABLE 15'!$A$11:$M$146,13,FALSE)-AJ70</f>
        <v>-0.4719999999997526</v>
      </c>
    </row>
    <row r="71" spans="1:44" s="69" customFormat="1" ht="15.75">
      <c r="A71" s="46"/>
      <c r="B71" s="46"/>
      <c r="C71" s="46"/>
      <c r="D71" s="46"/>
      <c r="E71" s="46"/>
      <c r="F71" s="46"/>
      <c r="G71" s="46"/>
      <c r="H71" s="46"/>
      <c r="I71" s="132"/>
      <c r="J71" s="67"/>
      <c r="K71" s="45"/>
      <c r="L71" s="45"/>
      <c r="M71" s="45"/>
      <c r="N71" s="45"/>
      <c r="O71" s="45"/>
      <c r="P71" s="45"/>
      <c r="Q71" s="45"/>
      <c r="R71" s="45"/>
      <c r="S71" s="45"/>
      <c r="T71" s="45"/>
      <c r="U71" s="45"/>
      <c r="V71" s="45"/>
      <c r="W71" s="45"/>
      <c r="X71" s="45"/>
      <c r="Y71" s="45"/>
      <c r="Z71" s="45"/>
      <c r="AA71" s="193">
        <v>73</v>
      </c>
      <c r="AB71" s="194" t="s">
        <v>219</v>
      </c>
      <c r="AC71" s="97">
        <v>13831953.849999998</v>
      </c>
      <c r="AD71" s="97">
        <v>5461</v>
      </c>
      <c r="AE71" s="97">
        <v>2567328.9</v>
      </c>
      <c r="AF71" s="97">
        <v>1013.6751</v>
      </c>
      <c r="AG71" s="97">
        <v>7533418.190000001</v>
      </c>
      <c r="AH71" s="97">
        <v>2974.4682</v>
      </c>
      <c r="AI71" s="97">
        <v>26892712.54</v>
      </c>
      <c r="AJ71" s="97">
        <v>10618.2235</v>
      </c>
      <c r="AK71" s="141">
        <f>VLOOKUP(AA71,'FY 2008 TABLE 15'!$A$11:$M$146,6,FALSE)-AC71</f>
        <v>0</v>
      </c>
      <c r="AL71" s="141">
        <f>VLOOKUP(AA71,'FY 2008 TABLE 15'!$A$11:$M$146,7,FALSE)-AD71</f>
        <v>0</v>
      </c>
      <c r="AM71" s="141">
        <f>VLOOKUP(AA71,'FY 2008 TABLE 15'!$A$11:$M$146,10,FALSE)-AE71</f>
        <v>0</v>
      </c>
      <c r="AN71" s="141">
        <f>VLOOKUP(AA71,'FY 2008 TABLE 15'!$A$11:$M$146,11,FALSE)-AF71</f>
        <v>0.3248999999999569</v>
      </c>
      <c r="AO71" s="141">
        <f>VLOOKUP(AA71,'FY 2008 TABLE 15'!$A$11:$M$146,4,FALSE)-AG71</f>
        <v>0</v>
      </c>
      <c r="AP71" s="141">
        <f>VLOOKUP(AA71,'FY 2008 TABLE 15'!$A$11:$M$146,5,FALSE)-AH71</f>
        <v>-0.468199999999797</v>
      </c>
      <c r="AQ71" s="141">
        <f>VLOOKUP(AA71,'FY 2008 TABLE 15'!$A$11:$M$146,12,FALSE)-AI71</f>
        <v>0</v>
      </c>
      <c r="AR71" s="142">
        <f>VLOOKUP(AA71,'FY 2008 TABLE 15'!$A$11:$M$146,13,FALSE)-AJ71</f>
        <v>-0.2235000000000582</v>
      </c>
    </row>
    <row r="72" spans="1:44" s="69" customFormat="1" ht="15.75">
      <c r="A72" s="46"/>
      <c r="B72" s="46"/>
      <c r="C72" s="46"/>
      <c r="D72" s="46"/>
      <c r="E72" s="46"/>
      <c r="F72" s="46"/>
      <c r="G72" s="46"/>
      <c r="H72" s="46"/>
      <c r="I72" s="132"/>
      <c r="J72" s="67"/>
      <c r="K72" s="45"/>
      <c r="L72" s="45"/>
      <c r="M72" s="45"/>
      <c r="N72" s="45"/>
      <c r="O72" s="45"/>
      <c r="P72" s="45"/>
      <c r="Q72" s="45"/>
      <c r="R72" s="45"/>
      <c r="S72" s="45"/>
      <c r="T72" s="45"/>
      <c r="U72" s="45"/>
      <c r="V72" s="45"/>
      <c r="W72" s="45"/>
      <c r="X72" s="45"/>
      <c r="Y72" s="45"/>
      <c r="Z72" s="45"/>
      <c r="AA72" s="193">
        <v>74</v>
      </c>
      <c r="AB72" s="194" t="s">
        <v>220</v>
      </c>
      <c r="AC72" s="97">
        <v>31279422.560000002</v>
      </c>
      <c r="AD72" s="97">
        <v>5084</v>
      </c>
      <c r="AE72" s="97">
        <v>6104090.69</v>
      </c>
      <c r="AF72" s="97">
        <v>992.0554</v>
      </c>
      <c r="AG72" s="97">
        <v>11877207.289999992</v>
      </c>
      <c r="AH72" s="97">
        <v>1930.3199</v>
      </c>
      <c r="AI72" s="97">
        <v>54851728.269999996</v>
      </c>
      <c r="AJ72" s="97">
        <v>8914.6699</v>
      </c>
      <c r="AK72" s="141">
        <f>VLOOKUP(AA72,'FY 2008 TABLE 15'!$A$11:$M$146,6,FALSE)-AC72</f>
        <v>0</v>
      </c>
      <c r="AL72" s="141">
        <f>VLOOKUP(AA72,'FY 2008 TABLE 15'!$A$11:$M$146,7,FALSE)-AD72</f>
        <v>0</v>
      </c>
      <c r="AM72" s="141">
        <f>VLOOKUP(AA72,'FY 2008 TABLE 15'!$A$11:$M$146,10,FALSE)-AE72</f>
        <v>0</v>
      </c>
      <c r="AN72" s="141">
        <f>VLOOKUP(AA72,'FY 2008 TABLE 15'!$A$11:$M$146,11,FALSE)-AF72</f>
        <v>-0.055399999999963256</v>
      </c>
      <c r="AO72" s="141">
        <f>VLOOKUP(AA72,'FY 2008 TABLE 15'!$A$11:$M$146,4,FALSE)-AG72</f>
        <v>0</v>
      </c>
      <c r="AP72" s="141">
        <f>VLOOKUP(AA72,'FY 2008 TABLE 15'!$A$11:$M$146,5,FALSE)-AH72</f>
        <v>-0.31989999999996144</v>
      </c>
      <c r="AQ72" s="141">
        <f>VLOOKUP(AA72,'FY 2008 TABLE 15'!$A$11:$M$146,12,FALSE)-AI72</f>
        <v>0</v>
      </c>
      <c r="AR72" s="142">
        <f>VLOOKUP(AA72,'FY 2008 TABLE 15'!$A$11:$M$146,13,FALSE)-AJ72</f>
        <v>0.33009999999922</v>
      </c>
    </row>
    <row r="73" spans="1:44" s="69" customFormat="1" ht="15.75">
      <c r="A73" s="46"/>
      <c r="B73" s="46"/>
      <c r="C73" s="46"/>
      <c r="D73" s="46"/>
      <c r="E73" s="46"/>
      <c r="F73" s="46"/>
      <c r="G73" s="46"/>
      <c r="H73" s="46"/>
      <c r="I73" s="132"/>
      <c r="J73" s="67"/>
      <c r="K73" s="45"/>
      <c r="L73" s="45"/>
      <c r="M73" s="45"/>
      <c r="N73" s="45"/>
      <c r="O73" s="45"/>
      <c r="P73" s="45"/>
      <c r="Q73" s="45"/>
      <c r="R73" s="45"/>
      <c r="S73" s="45"/>
      <c r="T73" s="45"/>
      <c r="U73" s="45"/>
      <c r="V73" s="45"/>
      <c r="W73" s="45"/>
      <c r="X73" s="45"/>
      <c r="Y73" s="45"/>
      <c r="Z73" s="45"/>
      <c r="AA73" s="193">
        <v>75</v>
      </c>
      <c r="AB73" s="194" t="s">
        <v>221</v>
      </c>
      <c r="AC73" s="97">
        <v>302875592.84</v>
      </c>
      <c r="AD73" s="97">
        <v>4247</v>
      </c>
      <c r="AE73" s="97">
        <v>32194172.759999998</v>
      </c>
      <c r="AF73" s="97">
        <v>451.3961</v>
      </c>
      <c r="AG73" s="97">
        <v>363796114.90000004</v>
      </c>
      <c r="AH73" s="97">
        <v>5100.8033</v>
      </c>
      <c r="AI73" s="97">
        <v>761863837.88</v>
      </c>
      <c r="AJ73" s="97">
        <v>10682.1306</v>
      </c>
      <c r="AK73" s="141">
        <f>VLOOKUP(AA73,'FY 2008 TABLE 15'!$A$11:$M$146,6,FALSE)-AC73</f>
        <v>0</v>
      </c>
      <c r="AL73" s="141">
        <f>VLOOKUP(AA73,'FY 2008 TABLE 15'!$A$11:$M$146,7,FALSE)-AD73</f>
        <v>0</v>
      </c>
      <c r="AM73" s="141">
        <f>VLOOKUP(AA73,'FY 2008 TABLE 15'!$A$11:$M$146,10,FALSE)-AE73</f>
        <v>0</v>
      </c>
      <c r="AN73" s="141">
        <f>VLOOKUP(AA73,'FY 2008 TABLE 15'!$A$11:$M$146,11,FALSE)-AF73</f>
        <v>-0.3960999999999899</v>
      </c>
      <c r="AO73" s="141">
        <f>VLOOKUP(AA73,'FY 2008 TABLE 15'!$A$11:$M$146,4,FALSE)-AG73</f>
        <v>0</v>
      </c>
      <c r="AP73" s="141">
        <f>VLOOKUP(AA73,'FY 2008 TABLE 15'!$A$11:$M$146,5,FALSE)-AH73</f>
        <v>0.1967000000004191</v>
      </c>
      <c r="AQ73" s="141">
        <f>VLOOKUP(AA73,'FY 2008 TABLE 15'!$A$11:$M$146,12,FALSE)-AI73</f>
        <v>0</v>
      </c>
      <c r="AR73" s="142">
        <f>VLOOKUP(AA73,'FY 2008 TABLE 15'!$A$11:$M$146,13,FALSE)-AJ73</f>
        <v>-0.13060000000041327</v>
      </c>
    </row>
    <row r="74" spans="1:44" s="69" customFormat="1" ht="15.75">
      <c r="A74" s="46"/>
      <c r="B74" s="46"/>
      <c r="C74" s="46"/>
      <c r="D74" s="46"/>
      <c r="E74" s="46"/>
      <c r="F74" s="46"/>
      <c r="G74" s="46"/>
      <c r="H74" s="46"/>
      <c r="I74" s="132"/>
      <c r="J74" s="67"/>
      <c r="K74" s="45"/>
      <c r="L74" s="45"/>
      <c r="M74" s="45"/>
      <c r="N74" s="45"/>
      <c r="O74" s="45"/>
      <c r="P74" s="45"/>
      <c r="Q74" s="45"/>
      <c r="R74" s="45"/>
      <c r="S74" s="45"/>
      <c r="T74" s="45"/>
      <c r="U74" s="45"/>
      <c r="V74" s="45"/>
      <c r="W74" s="45"/>
      <c r="X74" s="45"/>
      <c r="Y74" s="45"/>
      <c r="Z74" s="45"/>
      <c r="AA74" s="193">
        <v>77</v>
      </c>
      <c r="AB74" s="194" t="s">
        <v>222</v>
      </c>
      <c r="AC74" s="97">
        <v>22873192.61</v>
      </c>
      <c r="AD74" s="97">
        <v>4778</v>
      </c>
      <c r="AE74" s="97">
        <v>4172331.19</v>
      </c>
      <c r="AF74" s="97">
        <v>871.6296</v>
      </c>
      <c r="AG74" s="97">
        <v>12232201.650000002</v>
      </c>
      <c r="AH74" s="97">
        <v>2555.3939</v>
      </c>
      <c r="AI74" s="97">
        <v>43857555.53</v>
      </c>
      <c r="AJ74" s="97">
        <v>9162.155</v>
      </c>
      <c r="AK74" s="141">
        <f>VLOOKUP(AA74,'FY 2008 TABLE 15'!$A$11:$M$146,6,FALSE)-AC74</f>
        <v>0</v>
      </c>
      <c r="AL74" s="141">
        <f>VLOOKUP(AA74,'FY 2008 TABLE 15'!$A$11:$M$146,7,FALSE)-AD74</f>
        <v>0</v>
      </c>
      <c r="AM74" s="141">
        <f>VLOOKUP(AA74,'FY 2008 TABLE 15'!$A$11:$M$146,10,FALSE)-AE74</f>
        <v>0</v>
      </c>
      <c r="AN74" s="141">
        <f>VLOOKUP(AA74,'FY 2008 TABLE 15'!$A$11:$M$146,11,FALSE)-AF74</f>
        <v>0.3704000000000178</v>
      </c>
      <c r="AO74" s="141">
        <f>VLOOKUP(AA74,'FY 2008 TABLE 15'!$A$11:$M$146,4,FALSE)-AG74</f>
        <v>0</v>
      </c>
      <c r="AP74" s="141">
        <f>VLOOKUP(AA74,'FY 2008 TABLE 15'!$A$11:$M$146,5,FALSE)-AH74</f>
        <v>-0.39390000000003056</v>
      </c>
      <c r="AQ74" s="141">
        <f>VLOOKUP(AA74,'FY 2008 TABLE 15'!$A$11:$M$146,12,FALSE)-AI74</f>
        <v>0</v>
      </c>
      <c r="AR74" s="142">
        <f>VLOOKUP(AA74,'FY 2008 TABLE 15'!$A$11:$M$146,13,FALSE)-AJ74</f>
        <v>-0.15500000000065484</v>
      </c>
    </row>
    <row r="75" spans="1:44" s="69" customFormat="1" ht="15.75">
      <c r="A75" s="46"/>
      <c r="B75" s="46"/>
      <c r="C75" s="46"/>
      <c r="D75" s="46"/>
      <c r="E75" s="46"/>
      <c r="F75" s="46"/>
      <c r="G75" s="46"/>
      <c r="H75" s="46"/>
      <c r="I75" s="132"/>
      <c r="J75" s="67"/>
      <c r="K75" s="45"/>
      <c r="L75" s="45"/>
      <c r="M75" s="45"/>
      <c r="N75" s="45"/>
      <c r="O75" s="45"/>
      <c r="P75" s="45"/>
      <c r="Q75" s="45"/>
      <c r="R75" s="45"/>
      <c r="S75" s="45"/>
      <c r="T75" s="45"/>
      <c r="U75" s="45"/>
      <c r="V75" s="45"/>
      <c r="W75" s="45"/>
      <c r="X75" s="45"/>
      <c r="Y75" s="45"/>
      <c r="Z75" s="45"/>
      <c r="AA75" s="193">
        <v>78</v>
      </c>
      <c r="AB75" s="194" t="s">
        <v>223</v>
      </c>
      <c r="AC75" s="97">
        <v>1818424.3</v>
      </c>
      <c r="AD75" s="97">
        <v>1926</v>
      </c>
      <c r="AE75" s="97">
        <v>484350.41</v>
      </c>
      <c r="AF75" s="97">
        <v>512.8744</v>
      </c>
      <c r="AG75" s="97">
        <v>8132030.77</v>
      </c>
      <c r="AH75" s="97">
        <v>8610.9357</v>
      </c>
      <c r="AI75" s="97">
        <v>11537857.84</v>
      </c>
      <c r="AJ75" s="97">
        <v>12217.336</v>
      </c>
      <c r="AK75" s="141">
        <f>VLOOKUP(AA75,'FY 2008 TABLE 15'!$A$11:$M$146,6,FALSE)-AC75</f>
        <v>0</v>
      </c>
      <c r="AL75" s="141">
        <f>VLOOKUP(AA75,'FY 2008 TABLE 15'!$A$11:$M$146,7,FALSE)-AD75</f>
        <v>0</v>
      </c>
      <c r="AM75" s="141">
        <f>VLOOKUP(AA75,'FY 2008 TABLE 15'!$A$11:$M$146,10,FALSE)-AE75</f>
        <v>0</v>
      </c>
      <c r="AN75" s="141">
        <f>VLOOKUP(AA75,'FY 2008 TABLE 15'!$A$11:$M$146,11,FALSE)-AF75</f>
        <v>0.12559999999996307</v>
      </c>
      <c r="AO75" s="141">
        <f>VLOOKUP(AA75,'FY 2008 TABLE 15'!$A$11:$M$146,4,FALSE)-AG75</f>
        <v>0</v>
      </c>
      <c r="AP75" s="141">
        <f>VLOOKUP(AA75,'FY 2008 TABLE 15'!$A$11:$M$146,5,FALSE)-AH75</f>
        <v>0.06430000000000291</v>
      </c>
      <c r="AQ75" s="141">
        <f>VLOOKUP(AA75,'FY 2008 TABLE 15'!$A$11:$M$146,12,FALSE)-AI75</f>
        <v>0</v>
      </c>
      <c r="AR75" s="142">
        <f>VLOOKUP(AA75,'FY 2008 TABLE 15'!$A$11:$M$146,13,FALSE)-AJ75</f>
        <v>-0.3359999999993306</v>
      </c>
    </row>
    <row r="76" spans="1:44" s="69" customFormat="1" ht="15.75">
      <c r="A76" s="46"/>
      <c r="B76" s="46"/>
      <c r="C76" s="46"/>
      <c r="D76" s="46"/>
      <c r="E76" s="46"/>
      <c r="F76" s="46"/>
      <c r="G76" s="46"/>
      <c r="H76" s="46"/>
      <c r="I76" s="132"/>
      <c r="J76" s="67"/>
      <c r="K76" s="45"/>
      <c r="L76" s="45"/>
      <c r="M76" s="45"/>
      <c r="N76" s="45"/>
      <c r="O76" s="45"/>
      <c r="P76" s="45"/>
      <c r="Q76" s="45"/>
      <c r="R76" s="45"/>
      <c r="S76" s="45"/>
      <c r="T76" s="45"/>
      <c r="U76" s="45"/>
      <c r="V76" s="45"/>
      <c r="W76" s="45"/>
      <c r="X76" s="45"/>
      <c r="Y76" s="45"/>
      <c r="Z76" s="45"/>
      <c r="AA76" s="193">
        <v>79</v>
      </c>
      <c r="AB76" s="194" t="s">
        <v>224</v>
      </c>
      <c r="AC76" s="97">
        <v>5619499.01</v>
      </c>
      <c r="AD76" s="97">
        <v>4652</v>
      </c>
      <c r="AE76" s="97">
        <v>781680.78</v>
      </c>
      <c r="AF76" s="97">
        <v>647.1433</v>
      </c>
      <c r="AG76" s="97">
        <v>4446758.83</v>
      </c>
      <c r="AH76" s="97">
        <v>3681.4136</v>
      </c>
      <c r="AI76" s="97">
        <v>11879925.96</v>
      </c>
      <c r="AJ76" s="97">
        <v>9835.2357</v>
      </c>
      <c r="AK76" s="141">
        <f>VLOOKUP(AA76,'FY 2008 TABLE 15'!$A$11:$M$146,6,FALSE)-AC76</f>
        <v>0</v>
      </c>
      <c r="AL76" s="141">
        <f>VLOOKUP(AA76,'FY 2008 TABLE 15'!$A$11:$M$146,7,FALSE)-AD76</f>
        <v>0</v>
      </c>
      <c r="AM76" s="141">
        <f>VLOOKUP(AA76,'FY 2008 TABLE 15'!$A$11:$M$146,10,FALSE)-AE76</f>
        <v>0</v>
      </c>
      <c r="AN76" s="141">
        <f>VLOOKUP(AA76,'FY 2008 TABLE 15'!$A$11:$M$146,11,FALSE)-AF76</f>
        <v>-0.1432999999999538</v>
      </c>
      <c r="AO76" s="141">
        <f>VLOOKUP(AA76,'FY 2008 TABLE 15'!$A$11:$M$146,4,FALSE)-AG76</f>
        <v>0</v>
      </c>
      <c r="AP76" s="141">
        <f>VLOOKUP(AA76,'FY 2008 TABLE 15'!$A$11:$M$146,5,FALSE)-AH76</f>
        <v>-0.4135999999998603</v>
      </c>
      <c r="AQ76" s="141">
        <f>VLOOKUP(AA76,'FY 2008 TABLE 15'!$A$11:$M$146,12,FALSE)-AI76</f>
        <v>0</v>
      </c>
      <c r="AR76" s="142">
        <f>VLOOKUP(AA76,'FY 2008 TABLE 15'!$A$11:$M$146,13,FALSE)-AJ76</f>
        <v>-0.2356999999992695</v>
      </c>
    </row>
    <row r="77" spans="1:44" ht="15.75">
      <c r="A77" s="46"/>
      <c r="B77" s="46"/>
      <c r="C77" s="46"/>
      <c r="D77" s="46"/>
      <c r="E77" s="46"/>
      <c r="F77" s="46"/>
      <c r="G77" s="46"/>
      <c r="H77" s="46"/>
      <c r="I77" s="132"/>
      <c r="J77" s="67"/>
      <c r="K77" s="45"/>
      <c r="L77" s="45"/>
      <c r="M77" s="45"/>
      <c r="N77" s="45"/>
      <c r="O77" s="45"/>
      <c r="P77" s="45"/>
      <c r="Q77" s="45"/>
      <c r="R77" s="45"/>
      <c r="S77" s="45"/>
      <c r="T77" s="45"/>
      <c r="U77" s="45"/>
      <c r="V77" s="45"/>
      <c r="W77" s="45"/>
      <c r="X77" s="45"/>
      <c r="Y77" s="45"/>
      <c r="Z77" s="45"/>
      <c r="AA77" s="193">
        <v>80</v>
      </c>
      <c r="AB77" s="194" t="s">
        <v>225</v>
      </c>
      <c r="AC77" s="97">
        <v>59980542.71</v>
      </c>
      <c r="AD77" s="97">
        <v>4033</v>
      </c>
      <c r="AE77" s="97">
        <v>6537817.34</v>
      </c>
      <c r="AF77" s="97">
        <v>439.6224</v>
      </c>
      <c r="AG77" s="97">
        <v>60228261.149999976</v>
      </c>
      <c r="AH77" s="97">
        <v>4049.9283</v>
      </c>
      <c r="AI77" s="97">
        <v>141089391.48</v>
      </c>
      <c r="AJ77" s="97">
        <v>9487.2723</v>
      </c>
      <c r="AK77" s="141">
        <f>VLOOKUP(AA77,'FY 2008 TABLE 15'!$A$11:$M$146,6,FALSE)-AC77</f>
        <v>0</v>
      </c>
      <c r="AL77" s="141">
        <f>VLOOKUP(AA77,'FY 2008 TABLE 15'!$A$11:$M$146,7,FALSE)-AD77</f>
        <v>0</v>
      </c>
      <c r="AM77" s="141">
        <f>VLOOKUP(AA77,'FY 2008 TABLE 15'!$A$11:$M$146,10,FALSE)-AE77</f>
        <v>0</v>
      </c>
      <c r="AN77" s="141">
        <f>VLOOKUP(AA77,'FY 2008 TABLE 15'!$A$11:$M$146,11,FALSE)-AF77</f>
        <v>0.3775999999999726</v>
      </c>
      <c r="AO77" s="141">
        <f>VLOOKUP(AA77,'FY 2008 TABLE 15'!$A$11:$M$146,4,FALSE)-AG77</f>
        <v>0</v>
      </c>
      <c r="AP77" s="141">
        <f>VLOOKUP(AA77,'FY 2008 TABLE 15'!$A$11:$M$146,5,FALSE)-AH77</f>
        <v>0.07169999999996435</v>
      </c>
      <c r="AQ77" s="141">
        <f>VLOOKUP(AA77,'FY 2008 TABLE 15'!$A$11:$M$146,12,FALSE)-AI77</f>
        <v>0</v>
      </c>
      <c r="AR77" s="142">
        <f>VLOOKUP(AA77,'FY 2008 TABLE 15'!$A$11:$M$146,13,FALSE)-AJ77</f>
        <v>-0.27230000000054133</v>
      </c>
    </row>
    <row r="78" spans="1:44" ht="15.75">
      <c r="A78" s="46"/>
      <c r="B78" s="46"/>
      <c r="C78" s="46"/>
      <c r="D78" s="46"/>
      <c r="E78" s="46"/>
      <c r="F78" s="46"/>
      <c r="G78" s="46"/>
      <c r="H78" s="46"/>
      <c r="I78" s="132"/>
      <c r="J78" s="67"/>
      <c r="K78" s="45"/>
      <c r="L78" s="45"/>
      <c r="M78" s="45"/>
      <c r="N78" s="45"/>
      <c r="O78" s="45"/>
      <c r="P78" s="45"/>
      <c r="Q78" s="45"/>
      <c r="R78" s="45"/>
      <c r="S78" s="45"/>
      <c r="T78" s="45"/>
      <c r="U78" s="45"/>
      <c r="V78" s="45"/>
      <c r="W78" s="45"/>
      <c r="X78" s="45"/>
      <c r="Y78" s="45"/>
      <c r="Z78" s="45"/>
      <c r="AA78" s="193">
        <v>81</v>
      </c>
      <c r="AB78" s="194" t="s">
        <v>226</v>
      </c>
      <c r="AC78" s="97">
        <v>9874125.15</v>
      </c>
      <c r="AD78" s="97">
        <v>3525</v>
      </c>
      <c r="AE78" s="97">
        <v>2655461.62</v>
      </c>
      <c r="AF78" s="97">
        <v>948.0952</v>
      </c>
      <c r="AG78" s="97">
        <v>12133262.11</v>
      </c>
      <c r="AH78" s="97">
        <v>4332.0105</v>
      </c>
      <c r="AI78" s="97">
        <v>27371043.18</v>
      </c>
      <c r="AJ78" s="97">
        <v>9772.4458</v>
      </c>
      <c r="AK78" s="141">
        <f>VLOOKUP(AA78,'FY 2008 TABLE 15'!$A$11:$M$146,6,FALSE)-AC78</f>
        <v>0</v>
      </c>
      <c r="AL78" s="141">
        <f>VLOOKUP(AA78,'FY 2008 TABLE 15'!$A$11:$M$146,7,FALSE)-AD78</f>
        <v>0</v>
      </c>
      <c r="AM78" s="141">
        <f>VLOOKUP(AA78,'FY 2008 TABLE 15'!$A$11:$M$146,10,FALSE)-AE78</f>
        <v>0</v>
      </c>
      <c r="AN78" s="141">
        <f>VLOOKUP(AA78,'FY 2008 TABLE 15'!$A$11:$M$146,11,FALSE)-AF78</f>
        <v>-0.09519999999997708</v>
      </c>
      <c r="AO78" s="141">
        <f>VLOOKUP(AA78,'FY 2008 TABLE 15'!$A$11:$M$146,4,FALSE)-AG78</f>
        <v>0</v>
      </c>
      <c r="AP78" s="141">
        <f>VLOOKUP(AA78,'FY 2008 TABLE 15'!$A$11:$M$146,5,FALSE)-AH78</f>
        <v>-0.010500000000320142</v>
      </c>
      <c r="AQ78" s="141">
        <f>VLOOKUP(AA78,'FY 2008 TABLE 15'!$A$11:$M$146,12,FALSE)-AI78</f>
        <v>0</v>
      </c>
      <c r="AR78" s="142">
        <f>VLOOKUP(AA78,'FY 2008 TABLE 15'!$A$11:$M$146,13,FALSE)-AJ78</f>
        <v>-0.44579999999950815</v>
      </c>
    </row>
    <row r="79" spans="1:44" s="29" customFormat="1" ht="15.75">
      <c r="A79" s="46"/>
      <c r="B79" s="46"/>
      <c r="C79" s="46"/>
      <c r="D79" s="46"/>
      <c r="E79" s="46"/>
      <c r="F79" s="46"/>
      <c r="G79" s="46"/>
      <c r="H79" s="46"/>
      <c r="I79" s="133"/>
      <c r="J79" s="136"/>
      <c r="K79" s="46"/>
      <c r="L79" s="46"/>
      <c r="M79" s="46"/>
      <c r="N79" s="46"/>
      <c r="O79" s="46"/>
      <c r="P79" s="46"/>
      <c r="Q79" s="46"/>
      <c r="R79" s="46"/>
      <c r="S79" s="46"/>
      <c r="T79" s="46"/>
      <c r="U79" s="46"/>
      <c r="V79" s="46"/>
      <c r="W79" s="46"/>
      <c r="X79" s="46"/>
      <c r="Y79" s="46"/>
      <c r="Z79" s="46"/>
      <c r="AA79" s="193">
        <v>82</v>
      </c>
      <c r="AB79" s="194" t="s">
        <v>227</v>
      </c>
      <c r="AC79" s="97">
        <v>49302121.379999995</v>
      </c>
      <c r="AD79" s="97">
        <v>4313</v>
      </c>
      <c r="AE79" s="97">
        <v>7091061.06</v>
      </c>
      <c r="AF79" s="97">
        <v>620.3269</v>
      </c>
      <c r="AG79" s="97">
        <v>42142877.12</v>
      </c>
      <c r="AH79" s="97">
        <v>3686.664</v>
      </c>
      <c r="AI79" s="97">
        <v>110116879.63</v>
      </c>
      <c r="AJ79" s="97">
        <v>9633.0381</v>
      </c>
      <c r="AK79" s="141">
        <f>VLOOKUP(AA79,'FY 2008 TABLE 15'!$A$11:$M$146,6,FALSE)-AC79</f>
        <v>0</v>
      </c>
      <c r="AL79" s="141">
        <f>VLOOKUP(AA79,'FY 2008 TABLE 15'!$A$11:$M$146,7,FALSE)-AD79</f>
        <v>0</v>
      </c>
      <c r="AM79" s="141">
        <f>VLOOKUP(AA79,'FY 2008 TABLE 15'!$A$11:$M$146,10,FALSE)-AE79</f>
        <v>0</v>
      </c>
      <c r="AN79" s="141">
        <f>VLOOKUP(AA79,'FY 2008 TABLE 15'!$A$11:$M$146,11,FALSE)-AF79</f>
        <v>-0.3269000000000233</v>
      </c>
      <c r="AO79" s="141">
        <f>VLOOKUP(AA79,'FY 2008 TABLE 15'!$A$11:$M$146,4,FALSE)-AG79</f>
        <v>0</v>
      </c>
      <c r="AP79" s="141">
        <f>VLOOKUP(AA79,'FY 2008 TABLE 15'!$A$11:$M$146,5,FALSE)-AH79</f>
        <v>0.33599999999978536</v>
      </c>
      <c r="AQ79" s="141">
        <f>VLOOKUP(AA79,'FY 2008 TABLE 15'!$A$11:$M$146,12,FALSE)-AI79</f>
        <v>0</v>
      </c>
      <c r="AR79" s="142">
        <f>VLOOKUP(AA79,'FY 2008 TABLE 15'!$A$11:$M$146,13,FALSE)-AJ79</f>
        <v>-0.03809999999975844</v>
      </c>
    </row>
    <row r="80" spans="1:44" s="29" customFormat="1" ht="15.75">
      <c r="A80" s="68"/>
      <c r="B80" s="68"/>
      <c r="C80" s="68"/>
      <c r="D80" s="68"/>
      <c r="E80" s="68"/>
      <c r="F80" s="68"/>
      <c r="G80" s="68"/>
      <c r="H80" s="68"/>
      <c r="I80" s="133"/>
      <c r="J80" s="136"/>
      <c r="K80" s="46"/>
      <c r="L80" s="46"/>
      <c r="M80" s="46"/>
      <c r="N80" s="46"/>
      <c r="O80" s="46"/>
      <c r="P80" s="46"/>
      <c r="Q80" s="46"/>
      <c r="R80" s="46"/>
      <c r="S80" s="46"/>
      <c r="T80" s="46"/>
      <c r="U80" s="46"/>
      <c r="V80" s="46"/>
      <c r="W80" s="46"/>
      <c r="X80" s="46"/>
      <c r="Y80" s="46"/>
      <c r="Z80" s="46"/>
      <c r="AA80" s="193">
        <v>83</v>
      </c>
      <c r="AB80" s="194" t="s">
        <v>228</v>
      </c>
      <c r="AC80" s="97">
        <v>22089183.720000003</v>
      </c>
      <c r="AD80" s="97">
        <v>5347</v>
      </c>
      <c r="AE80" s="97">
        <v>5899025.820000001</v>
      </c>
      <c r="AF80" s="97">
        <v>1427.8727</v>
      </c>
      <c r="AG80" s="97">
        <v>7144051.760000001</v>
      </c>
      <c r="AH80" s="97">
        <v>1729.2341</v>
      </c>
      <c r="AI80" s="97">
        <v>39031566.800000004</v>
      </c>
      <c r="AJ80" s="97">
        <v>9447.6802</v>
      </c>
      <c r="AK80" s="141">
        <f>VLOOKUP(AA80,'FY 2008 TABLE 15'!$A$11:$M$146,6,FALSE)-AC80</f>
        <v>0</v>
      </c>
      <c r="AL80" s="141">
        <f>VLOOKUP(AA80,'FY 2008 TABLE 15'!$A$11:$M$146,7,FALSE)-AD80</f>
        <v>0</v>
      </c>
      <c r="AM80" s="141">
        <f>VLOOKUP(AA80,'FY 2008 TABLE 15'!$A$11:$M$146,10,FALSE)-AE80</f>
        <v>0</v>
      </c>
      <c r="AN80" s="141">
        <f>VLOOKUP(AA80,'FY 2008 TABLE 15'!$A$11:$M$146,11,FALSE)-AF80</f>
        <v>0.12730000000010477</v>
      </c>
      <c r="AO80" s="141">
        <f>VLOOKUP(AA80,'FY 2008 TABLE 15'!$A$11:$M$146,4,FALSE)-AG80</f>
        <v>0</v>
      </c>
      <c r="AP80" s="141">
        <f>VLOOKUP(AA80,'FY 2008 TABLE 15'!$A$11:$M$146,5,FALSE)-AH80</f>
        <v>-0.2340999999998985</v>
      </c>
      <c r="AQ80" s="141">
        <f>VLOOKUP(AA80,'FY 2008 TABLE 15'!$A$11:$M$146,12,FALSE)-AI80</f>
        <v>0</v>
      </c>
      <c r="AR80" s="142">
        <f>VLOOKUP(AA80,'FY 2008 TABLE 15'!$A$11:$M$146,13,FALSE)-AJ80</f>
        <v>0.3197999999993044</v>
      </c>
    </row>
    <row r="81" spans="1:44" s="29" customFormat="1" ht="15.75">
      <c r="A81" s="68"/>
      <c r="B81" s="68"/>
      <c r="C81" s="68"/>
      <c r="D81" s="68"/>
      <c r="E81" s="68"/>
      <c r="F81" s="68"/>
      <c r="G81" s="68"/>
      <c r="H81" s="68"/>
      <c r="I81" s="133"/>
      <c r="J81" s="136"/>
      <c r="K81" s="46"/>
      <c r="L81" s="46"/>
      <c r="M81" s="46"/>
      <c r="N81" s="46"/>
      <c r="O81" s="46"/>
      <c r="P81" s="46"/>
      <c r="Q81" s="46"/>
      <c r="R81" s="46"/>
      <c r="S81" s="46"/>
      <c r="T81" s="46"/>
      <c r="U81" s="46"/>
      <c r="V81" s="46"/>
      <c r="W81" s="46"/>
      <c r="X81" s="46"/>
      <c r="Y81" s="46"/>
      <c r="Z81" s="46"/>
      <c r="AA81" s="193">
        <v>84</v>
      </c>
      <c r="AB81" s="194" t="s">
        <v>229</v>
      </c>
      <c r="AC81" s="97">
        <v>23767697.990000002</v>
      </c>
      <c r="AD81" s="97">
        <v>6212</v>
      </c>
      <c r="AE81" s="97">
        <v>3529685.64</v>
      </c>
      <c r="AF81" s="97">
        <v>922.4962</v>
      </c>
      <c r="AG81" s="97">
        <v>6440584.43</v>
      </c>
      <c r="AH81" s="97">
        <v>1683.2702</v>
      </c>
      <c r="AI81" s="97">
        <v>37036310.88</v>
      </c>
      <c r="AJ81" s="97">
        <v>9679.5747</v>
      </c>
      <c r="AK81" s="141">
        <f>VLOOKUP(AA81,'FY 2008 TABLE 15'!$A$11:$M$146,6,FALSE)-AC81</f>
        <v>0</v>
      </c>
      <c r="AL81" s="141">
        <f>VLOOKUP(AA81,'FY 2008 TABLE 15'!$A$11:$M$146,7,FALSE)-AD81</f>
        <v>0</v>
      </c>
      <c r="AM81" s="141">
        <f>VLOOKUP(AA81,'FY 2008 TABLE 15'!$A$11:$M$146,10,FALSE)-AE81</f>
        <v>0</v>
      </c>
      <c r="AN81" s="141">
        <f>VLOOKUP(AA81,'FY 2008 TABLE 15'!$A$11:$M$146,11,FALSE)-AF81</f>
        <v>-0.4962000000000444</v>
      </c>
      <c r="AO81" s="141">
        <f>VLOOKUP(AA81,'FY 2008 TABLE 15'!$A$11:$M$146,4,FALSE)-AG81</f>
        <v>0</v>
      </c>
      <c r="AP81" s="141">
        <f>VLOOKUP(AA81,'FY 2008 TABLE 15'!$A$11:$M$146,5,FALSE)-AH81</f>
        <v>-0.2701999999999316</v>
      </c>
      <c r="AQ81" s="141">
        <f>VLOOKUP(AA81,'FY 2008 TABLE 15'!$A$11:$M$146,12,FALSE)-AI81</f>
        <v>0</v>
      </c>
      <c r="AR81" s="142">
        <f>VLOOKUP(AA81,'FY 2008 TABLE 15'!$A$11:$M$146,13,FALSE)-AJ81</f>
        <v>0.4253000000007887</v>
      </c>
    </row>
    <row r="82" spans="1:44" s="29" customFormat="1" ht="15.75">
      <c r="A82" s="46"/>
      <c r="B82" s="46"/>
      <c r="C82" s="46"/>
      <c r="D82" s="46"/>
      <c r="E82" s="46"/>
      <c r="F82" s="46"/>
      <c r="G82" s="46"/>
      <c r="H82" s="46"/>
      <c r="I82" s="133"/>
      <c r="J82" s="136"/>
      <c r="K82" s="46"/>
      <c r="L82" s="46"/>
      <c r="M82" s="46"/>
      <c r="N82" s="46"/>
      <c r="O82" s="46"/>
      <c r="P82" s="46"/>
      <c r="Q82" s="46"/>
      <c r="R82" s="46"/>
      <c r="S82" s="46"/>
      <c r="T82" s="46"/>
      <c r="U82" s="46"/>
      <c r="V82" s="46"/>
      <c r="W82" s="46"/>
      <c r="X82" s="46"/>
      <c r="Y82" s="46"/>
      <c r="Z82" s="46"/>
      <c r="AA82" s="193">
        <v>85</v>
      </c>
      <c r="AB82" s="194" t="s">
        <v>230</v>
      </c>
      <c r="AC82" s="97">
        <v>26590117.38</v>
      </c>
      <c r="AD82" s="97">
        <v>4331</v>
      </c>
      <c r="AE82" s="97">
        <v>2995465.55</v>
      </c>
      <c r="AF82" s="97">
        <v>487.9467</v>
      </c>
      <c r="AG82" s="97">
        <v>25098713.320000008</v>
      </c>
      <c r="AH82" s="97">
        <v>4088.4575</v>
      </c>
      <c r="AI82" s="97">
        <v>60187799.31</v>
      </c>
      <c r="AJ82" s="97">
        <v>9804.2978</v>
      </c>
      <c r="AK82" s="141">
        <f>VLOOKUP(AA82,'FY 2008 TABLE 15'!$A$11:$M$146,6,FALSE)-AC82</f>
        <v>0</v>
      </c>
      <c r="AL82" s="141">
        <f>VLOOKUP(AA82,'FY 2008 TABLE 15'!$A$11:$M$146,7,FALSE)-AD82</f>
        <v>0</v>
      </c>
      <c r="AM82" s="141">
        <f>VLOOKUP(AA82,'FY 2008 TABLE 15'!$A$11:$M$146,10,FALSE)-AE82</f>
        <v>0</v>
      </c>
      <c r="AN82" s="141">
        <f>VLOOKUP(AA82,'FY 2008 TABLE 15'!$A$11:$M$146,11,FALSE)-AF82</f>
        <v>0.05329999999997881</v>
      </c>
      <c r="AO82" s="141">
        <f>VLOOKUP(AA82,'FY 2008 TABLE 15'!$A$11:$M$146,4,FALSE)-AG82</f>
        <v>0</v>
      </c>
      <c r="AP82" s="141">
        <f>VLOOKUP(AA82,'FY 2008 TABLE 15'!$A$11:$M$146,5,FALSE)-AH82</f>
        <v>-0.4574999999999818</v>
      </c>
      <c r="AQ82" s="141">
        <f>VLOOKUP(AA82,'FY 2008 TABLE 15'!$A$11:$M$146,12,FALSE)-AI82</f>
        <v>0</v>
      </c>
      <c r="AR82" s="142">
        <f>VLOOKUP(AA82,'FY 2008 TABLE 15'!$A$11:$M$146,13,FALSE)-AJ82</f>
        <v>-0.2978000000002794</v>
      </c>
    </row>
    <row r="83" spans="1:44" s="29" customFormat="1" ht="15.75">
      <c r="A83" s="46"/>
      <c r="B83" s="46"/>
      <c r="C83" s="46"/>
      <c r="D83" s="46"/>
      <c r="E83" s="46"/>
      <c r="F83" s="46"/>
      <c r="G83" s="46"/>
      <c r="H83" s="46"/>
      <c r="I83" s="133"/>
      <c r="J83" s="136"/>
      <c r="K83" s="46"/>
      <c r="L83" s="46"/>
      <c r="M83" s="46"/>
      <c r="N83" s="46"/>
      <c r="O83" s="46"/>
      <c r="P83" s="46"/>
      <c r="Q83" s="46"/>
      <c r="R83" s="46"/>
      <c r="S83" s="46"/>
      <c r="T83" s="46"/>
      <c r="U83" s="46"/>
      <c r="V83" s="46"/>
      <c r="W83" s="46"/>
      <c r="X83" s="46"/>
      <c r="Y83" s="46"/>
      <c r="Z83" s="46"/>
      <c r="AA83" s="193">
        <v>86</v>
      </c>
      <c r="AB83" s="194" t="s">
        <v>231</v>
      </c>
      <c r="AC83" s="97">
        <v>27875254.130000003</v>
      </c>
      <c r="AD83" s="97">
        <v>5723</v>
      </c>
      <c r="AE83" s="97">
        <v>5133532.37</v>
      </c>
      <c r="AF83" s="97">
        <v>1053.9223</v>
      </c>
      <c r="AG83" s="97">
        <v>9671338.959999993</v>
      </c>
      <c r="AH83" s="97">
        <v>1985.5411</v>
      </c>
      <c r="AI83" s="97">
        <v>46832793.08</v>
      </c>
      <c r="AJ83" s="97">
        <v>9614.8463</v>
      </c>
      <c r="AK83" s="141">
        <f>VLOOKUP(AA83,'FY 2008 TABLE 15'!$A$11:$M$146,6,FALSE)-AC83</f>
        <v>0</v>
      </c>
      <c r="AL83" s="141">
        <f>VLOOKUP(AA83,'FY 2008 TABLE 15'!$A$11:$M$146,7,FALSE)-AD83</f>
        <v>0</v>
      </c>
      <c r="AM83" s="141">
        <f>VLOOKUP(AA83,'FY 2008 TABLE 15'!$A$11:$M$146,10,FALSE)-AE83</f>
        <v>0</v>
      </c>
      <c r="AN83" s="141">
        <f>VLOOKUP(AA83,'FY 2008 TABLE 15'!$A$11:$M$146,11,FALSE)-AF83</f>
        <v>0.07770000000004984</v>
      </c>
      <c r="AO83" s="141">
        <f>VLOOKUP(AA83,'FY 2008 TABLE 15'!$A$11:$M$146,4,FALSE)-AG83</f>
        <v>0</v>
      </c>
      <c r="AP83" s="141">
        <f>VLOOKUP(AA83,'FY 2008 TABLE 15'!$A$11:$M$146,5,FALSE)-AH83</f>
        <v>0.45890000000008513</v>
      </c>
      <c r="AQ83" s="141">
        <f>VLOOKUP(AA83,'FY 2008 TABLE 15'!$A$11:$M$146,12,FALSE)-AI83</f>
        <v>0</v>
      </c>
      <c r="AR83" s="142">
        <f>VLOOKUP(AA83,'FY 2008 TABLE 15'!$A$11:$M$146,13,FALSE)-AJ83</f>
        <v>0.1537000000007538</v>
      </c>
    </row>
    <row r="84" spans="1:44" s="29" customFormat="1" ht="15.75">
      <c r="A84" s="46"/>
      <c r="B84" s="46"/>
      <c r="C84" s="46"/>
      <c r="D84" s="46"/>
      <c r="E84" s="46"/>
      <c r="F84" s="46"/>
      <c r="G84" s="46"/>
      <c r="H84" s="46"/>
      <c r="I84" s="133"/>
      <c r="J84" s="136"/>
      <c r="K84" s="46"/>
      <c r="L84" s="46"/>
      <c r="M84" s="46"/>
      <c r="N84" s="46"/>
      <c r="O84" s="46"/>
      <c r="P84" s="46"/>
      <c r="Q84" s="46"/>
      <c r="R84" s="46"/>
      <c r="S84" s="46"/>
      <c r="T84" s="46"/>
      <c r="U84" s="46"/>
      <c r="V84" s="46"/>
      <c r="W84" s="46"/>
      <c r="X84" s="46"/>
      <c r="Y84" s="46"/>
      <c r="Z84" s="46"/>
      <c r="AA84" s="193">
        <v>87</v>
      </c>
      <c r="AB84" s="194" t="s">
        <v>232</v>
      </c>
      <c r="AC84" s="97">
        <v>14673704.8</v>
      </c>
      <c r="AD84" s="97">
        <v>5232</v>
      </c>
      <c r="AE84" s="97">
        <v>2417081.34</v>
      </c>
      <c r="AF84" s="97">
        <v>861.8872</v>
      </c>
      <c r="AG84" s="97">
        <v>8193877.32</v>
      </c>
      <c r="AH84" s="97">
        <v>2921.7876</v>
      </c>
      <c r="AI84" s="97">
        <v>28452462.96</v>
      </c>
      <c r="AJ84" s="97">
        <v>10145.6306</v>
      </c>
      <c r="AK84" s="141">
        <f>VLOOKUP(AA84,'FY 2008 TABLE 15'!$A$11:$M$146,6,FALSE)-AC84</f>
        <v>0</v>
      </c>
      <c r="AL84" s="141">
        <f>VLOOKUP(AA84,'FY 2008 TABLE 15'!$A$11:$M$146,7,FALSE)-AD84</f>
        <v>0</v>
      </c>
      <c r="AM84" s="141">
        <f>VLOOKUP(AA84,'FY 2008 TABLE 15'!$A$11:$M$146,10,FALSE)-AE84</f>
        <v>0</v>
      </c>
      <c r="AN84" s="141">
        <f>VLOOKUP(AA84,'FY 2008 TABLE 15'!$A$11:$M$146,11,FALSE)-AF84</f>
        <v>0.1127999999999929</v>
      </c>
      <c r="AO84" s="141">
        <f>VLOOKUP(AA84,'FY 2008 TABLE 15'!$A$11:$M$146,4,FALSE)-AG84</f>
        <v>0</v>
      </c>
      <c r="AP84" s="141">
        <f>VLOOKUP(AA84,'FY 2008 TABLE 15'!$A$11:$M$146,5,FALSE)-AH84</f>
        <v>0.21239999999988868</v>
      </c>
      <c r="AQ84" s="141">
        <f>VLOOKUP(AA84,'FY 2008 TABLE 15'!$A$11:$M$146,12,FALSE)-AI84</f>
        <v>0</v>
      </c>
      <c r="AR84" s="142">
        <f>VLOOKUP(AA84,'FY 2008 TABLE 15'!$A$11:$M$146,13,FALSE)-AJ84</f>
        <v>0.3693999999995867</v>
      </c>
    </row>
    <row r="85" spans="1:44" s="29" customFormat="1" ht="15.75">
      <c r="A85" s="46"/>
      <c r="B85" s="46"/>
      <c r="C85" s="46"/>
      <c r="D85" s="46"/>
      <c r="E85" s="46"/>
      <c r="F85" s="46"/>
      <c r="G85" s="46"/>
      <c r="H85" s="46"/>
      <c r="I85" s="133"/>
      <c r="J85" s="136"/>
      <c r="K85" s="46"/>
      <c r="L85" s="46"/>
      <c r="M85" s="46"/>
      <c r="N85" s="46"/>
      <c r="O85" s="46"/>
      <c r="P85" s="46"/>
      <c r="Q85" s="46"/>
      <c r="R85" s="46"/>
      <c r="S85" s="46"/>
      <c r="T85" s="46"/>
      <c r="U85" s="46"/>
      <c r="V85" s="46"/>
      <c r="W85" s="46"/>
      <c r="X85" s="46"/>
      <c r="Y85" s="46"/>
      <c r="Z85" s="46"/>
      <c r="AA85" s="193">
        <v>88</v>
      </c>
      <c r="AB85" s="194" t="s">
        <v>233</v>
      </c>
      <c r="AC85" s="97">
        <v>98878017.63</v>
      </c>
      <c r="AD85" s="97">
        <v>4137</v>
      </c>
      <c r="AE85" s="97">
        <v>10263834.310000002</v>
      </c>
      <c r="AF85" s="97">
        <v>429.4814</v>
      </c>
      <c r="AG85" s="97">
        <v>103669076.67</v>
      </c>
      <c r="AH85" s="97">
        <v>4337.9442</v>
      </c>
      <c r="AI85" s="97">
        <v>234732162.84</v>
      </c>
      <c r="AJ85" s="97">
        <v>9822.1674</v>
      </c>
      <c r="AK85" s="141">
        <f>VLOOKUP(AA85,'FY 2008 TABLE 15'!$A$11:$M$146,6,FALSE)-AC85</f>
        <v>0</v>
      </c>
      <c r="AL85" s="141">
        <f>VLOOKUP(AA85,'FY 2008 TABLE 15'!$A$11:$M$146,7,FALSE)-AD85</f>
        <v>0</v>
      </c>
      <c r="AM85" s="141">
        <f>VLOOKUP(AA85,'FY 2008 TABLE 15'!$A$11:$M$146,10,FALSE)-AE85</f>
        <v>0</v>
      </c>
      <c r="AN85" s="141">
        <f>VLOOKUP(AA85,'FY 2008 TABLE 15'!$A$11:$M$146,11,FALSE)-AF85</f>
        <v>-0.4814000000000078</v>
      </c>
      <c r="AO85" s="141">
        <f>VLOOKUP(AA85,'FY 2008 TABLE 15'!$A$11:$M$146,4,FALSE)-AG85</f>
        <v>0</v>
      </c>
      <c r="AP85" s="141">
        <f>VLOOKUP(AA85,'FY 2008 TABLE 15'!$A$11:$M$146,5,FALSE)-AH85</f>
        <v>0.05580000000009022</v>
      </c>
      <c r="AQ85" s="141">
        <f>VLOOKUP(AA85,'FY 2008 TABLE 15'!$A$11:$M$146,12,FALSE)-AI85</f>
        <v>0</v>
      </c>
      <c r="AR85" s="142">
        <f>VLOOKUP(AA85,'FY 2008 TABLE 15'!$A$11:$M$146,13,FALSE)-AJ85</f>
        <v>-0.16740000000027067</v>
      </c>
    </row>
    <row r="86" spans="1:44" s="29" customFormat="1" ht="15.75">
      <c r="A86" s="46"/>
      <c r="B86" s="46"/>
      <c r="C86" s="46"/>
      <c r="D86" s="46"/>
      <c r="E86" s="46"/>
      <c r="F86" s="46"/>
      <c r="G86" s="46"/>
      <c r="H86" s="46"/>
      <c r="I86" s="133"/>
      <c r="J86" s="136"/>
      <c r="K86" s="46"/>
      <c r="L86" s="46"/>
      <c r="M86" s="46"/>
      <c r="N86" s="46"/>
      <c r="O86" s="46"/>
      <c r="P86" s="46"/>
      <c r="Q86" s="46"/>
      <c r="R86" s="46"/>
      <c r="S86" s="46"/>
      <c r="T86" s="46"/>
      <c r="U86" s="46"/>
      <c r="V86" s="46"/>
      <c r="W86" s="46"/>
      <c r="X86" s="46"/>
      <c r="Y86" s="46"/>
      <c r="Z86" s="46"/>
      <c r="AA86" s="193">
        <v>89</v>
      </c>
      <c r="AB86" s="194" t="s">
        <v>234</v>
      </c>
      <c r="AC86" s="97">
        <v>107498878.00999998</v>
      </c>
      <c r="AD86" s="97">
        <v>4112</v>
      </c>
      <c r="AE86" s="97">
        <v>11144535.769999996</v>
      </c>
      <c r="AF86" s="97">
        <v>426.3026</v>
      </c>
      <c r="AG86" s="97">
        <v>100930296.31000002</v>
      </c>
      <c r="AH86" s="97">
        <v>3860.8025</v>
      </c>
      <c r="AI86" s="97">
        <v>244042499.87</v>
      </c>
      <c r="AJ86" s="97">
        <v>9335.1543</v>
      </c>
      <c r="AK86" s="141">
        <f>VLOOKUP(AA86,'FY 2008 TABLE 15'!$A$11:$M$146,6,FALSE)-AC86</f>
        <v>0</v>
      </c>
      <c r="AL86" s="141">
        <f>VLOOKUP(AA86,'FY 2008 TABLE 15'!$A$11:$M$146,7,FALSE)-AD86</f>
        <v>0</v>
      </c>
      <c r="AM86" s="141">
        <f>VLOOKUP(AA86,'FY 2008 TABLE 15'!$A$11:$M$146,10,FALSE)-AE86</f>
        <v>0</v>
      </c>
      <c r="AN86" s="141">
        <f>VLOOKUP(AA86,'FY 2008 TABLE 15'!$A$11:$M$146,11,FALSE)-AF86</f>
        <v>-0.302599999999984</v>
      </c>
      <c r="AO86" s="141">
        <f>VLOOKUP(AA86,'FY 2008 TABLE 15'!$A$11:$M$146,4,FALSE)-AG86</f>
        <v>0</v>
      </c>
      <c r="AP86" s="141">
        <f>VLOOKUP(AA86,'FY 2008 TABLE 15'!$A$11:$M$146,5,FALSE)-AH86</f>
        <v>0.19750000000021828</v>
      </c>
      <c r="AQ86" s="141">
        <f>VLOOKUP(AA86,'FY 2008 TABLE 15'!$A$11:$M$146,12,FALSE)-AI86</f>
        <v>0</v>
      </c>
      <c r="AR86" s="142">
        <f>VLOOKUP(AA86,'FY 2008 TABLE 15'!$A$11:$M$146,13,FALSE)-AJ86</f>
        <v>-0.15430000000014843</v>
      </c>
    </row>
    <row r="87" spans="1:44" s="29" customFormat="1" ht="15.75">
      <c r="A87" s="46"/>
      <c r="B87" s="46"/>
      <c r="C87" s="46"/>
      <c r="D87" s="46"/>
      <c r="E87" s="46"/>
      <c r="F87" s="46"/>
      <c r="G87" s="46"/>
      <c r="H87" s="46"/>
      <c r="I87" s="133"/>
      <c r="J87" s="136"/>
      <c r="K87" s="46"/>
      <c r="L87" s="46"/>
      <c r="M87" s="46"/>
      <c r="N87" s="46"/>
      <c r="O87" s="46"/>
      <c r="P87" s="46"/>
      <c r="Q87" s="46"/>
      <c r="R87" s="46"/>
      <c r="S87" s="46"/>
      <c r="T87" s="46"/>
      <c r="U87" s="46"/>
      <c r="V87" s="46"/>
      <c r="W87" s="46"/>
      <c r="X87" s="46"/>
      <c r="Y87" s="46"/>
      <c r="Z87" s="46"/>
      <c r="AA87" s="193">
        <v>90</v>
      </c>
      <c r="AB87" s="194" t="s">
        <v>235</v>
      </c>
      <c r="AC87" s="97">
        <v>1868206.91</v>
      </c>
      <c r="AD87" s="97">
        <v>1882</v>
      </c>
      <c r="AE87" s="97">
        <v>1014688.19</v>
      </c>
      <c r="AF87" s="97">
        <v>1022.3731</v>
      </c>
      <c r="AG87" s="97">
        <v>10957270.72</v>
      </c>
      <c r="AH87" s="97">
        <v>11040.2571</v>
      </c>
      <c r="AI87" s="97">
        <v>14860566.42</v>
      </c>
      <c r="AJ87" s="97">
        <v>14973.115</v>
      </c>
      <c r="AK87" s="141">
        <f>VLOOKUP(AA87,'FY 2008 TABLE 15'!$A$11:$M$146,6,FALSE)-AC87</f>
        <v>0</v>
      </c>
      <c r="AL87" s="141">
        <f>VLOOKUP(AA87,'FY 2008 TABLE 15'!$A$11:$M$146,7,FALSE)-AD87</f>
        <v>0</v>
      </c>
      <c r="AM87" s="141">
        <f>VLOOKUP(AA87,'FY 2008 TABLE 15'!$A$11:$M$146,10,FALSE)-AE87</f>
        <v>0</v>
      </c>
      <c r="AN87" s="141">
        <f>VLOOKUP(AA87,'FY 2008 TABLE 15'!$A$11:$M$146,11,FALSE)-AF87</f>
        <v>-0.3731000000000222</v>
      </c>
      <c r="AO87" s="141">
        <f>VLOOKUP(AA87,'FY 2008 TABLE 15'!$A$11:$M$146,4,FALSE)-AG87</f>
        <v>0</v>
      </c>
      <c r="AP87" s="141">
        <f>VLOOKUP(AA87,'FY 2008 TABLE 15'!$A$11:$M$146,5,FALSE)-AH87</f>
        <v>-0.25710000000071886</v>
      </c>
      <c r="AQ87" s="141">
        <f>VLOOKUP(AA87,'FY 2008 TABLE 15'!$A$11:$M$146,12,FALSE)-AI87</f>
        <v>0</v>
      </c>
      <c r="AR87" s="142">
        <f>VLOOKUP(AA87,'FY 2008 TABLE 15'!$A$11:$M$146,13,FALSE)-AJ87</f>
        <v>-0.11499999999978172</v>
      </c>
    </row>
    <row r="88" spans="1:44" s="29" customFormat="1" ht="15.75">
      <c r="A88" s="46"/>
      <c r="B88" s="46"/>
      <c r="C88" s="46"/>
      <c r="D88" s="46"/>
      <c r="E88" s="46"/>
      <c r="F88" s="46"/>
      <c r="G88" s="46"/>
      <c r="H88" s="46"/>
      <c r="I88" s="133"/>
      <c r="J88" s="136"/>
      <c r="K88" s="46"/>
      <c r="L88" s="46"/>
      <c r="M88" s="46"/>
      <c r="N88" s="46"/>
      <c r="O88" s="46"/>
      <c r="P88" s="46"/>
      <c r="Q88" s="46"/>
      <c r="R88" s="46"/>
      <c r="S88" s="46"/>
      <c r="T88" s="46"/>
      <c r="U88" s="46"/>
      <c r="V88" s="46"/>
      <c r="W88" s="46"/>
      <c r="X88" s="46"/>
      <c r="Y88" s="46"/>
      <c r="Z88" s="46"/>
      <c r="AA88" s="193">
        <v>91</v>
      </c>
      <c r="AB88" s="194" t="s">
        <v>236</v>
      </c>
      <c r="AC88" s="97">
        <v>7546019.220000002</v>
      </c>
      <c r="AD88" s="97">
        <v>5864</v>
      </c>
      <c r="AE88" s="97">
        <v>1737339.81</v>
      </c>
      <c r="AF88" s="97">
        <v>1350.1359</v>
      </c>
      <c r="AG88" s="97">
        <v>9041620.509999998</v>
      </c>
      <c r="AH88" s="97">
        <v>7026.4992</v>
      </c>
      <c r="AI88" s="97">
        <v>19632129.26</v>
      </c>
      <c r="AJ88" s="97">
        <v>15256.6834</v>
      </c>
      <c r="AK88" s="141">
        <f>VLOOKUP(AA88,'FY 2008 TABLE 15'!$A$11:$M$146,6,FALSE)-AC88</f>
        <v>0</v>
      </c>
      <c r="AL88" s="141">
        <f>VLOOKUP(AA88,'FY 2008 TABLE 15'!$A$11:$M$146,7,FALSE)-AD88</f>
        <v>0</v>
      </c>
      <c r="AM88" s="141">
        <f>VLOOKUP(AA88,'FY 2008 TABLE 15'!$A$11:$M$146,10,FALSE)-AE88</f>
        <v>0</v>
      </c>
      <c r="AN88" s="141">
        <f>VLOOKUP(AA88,'FY 2008 TABLE 15'!$A$11:$M$146,11,FALSE)-AF88</f>
        <v>-0.13589999999999236</v>
      </c>
      <c r="AO88" s="141">
        <f>VLOOKUP(AA88,'FY 2008 TABLE 15'!$A$11:$M$146,4,FALSE)-AG88</f>
        <v>0</v>
      </c>
      <c r="AP88" s="141">
        <f>VLOOKUP(AA88,'FY 2008 TABLE 15'!$A$11:$M$146,5,FALSE)-AH88</f>
        <v>-0.4992000000002008</v>
      </c>
      <c r="AQ88" s="141">
        <f>VLOOKUP(AA88,'FY 2008 TABLE 15'!$A$11:$M$146,12,FALSE)-AI88</f>
        <v>0</v>
      </c>
      <c r="AR88" s="142">
        <f>VLOOKUP(AA88,'FY 2008 TABLE 15'!$A$11:$M$146,13,FALSE)-AJ88</f>
        <v>0.3166000000001077</v>
      </c>
    </row>
    <row r="89" spans="1:44" s="29" customFormat="1" ht="15.75">
      <c r="A89" s="46"/>
      <c r="B89" s="46"/>
      <c r="C89" s="46"/>
      <c r="D89" s="46"/>
      <c r="E89" s="46"/>
      <c r="F89" s="46"/>
      <c r="G89" s="46"/>
      <c r="H89" s="46"/>
      <c r="I89" s="133"/>
      <c r="J89" s="136"/>
      <c r="K89" s="46"/>
      <c r="L89" s="46"/>
      <c r="M89" s="46"/>
      <c r="N89" s="46"/>
      <c r="O89" s="46"/>
      <c r="P89" s="46"/>
      <c r="Q89" s="46"/>
      <c r="R89" s="46"/>
      <c r="S89" s="46"/>
      <c r="T89" s="46"/>
      <c r="U89" s="46"/>
      <c r="V89" s="46"/>
      <c r="W89" s="46"/>
      <c r="X89" s="46"/>
      <c r="Y89" s="46"/>
      <c r="Z89" s="46"/>
      <c r="AA89" s="193">
        <v>92</v>
      </c>
      <c r="AB89" s="194" t="s">
        <v>237</v>
      </c>
      <c r="AC89" s="97">
        <v>34253609.44</v>
      </c>
      <c r="AD89" s="97">
        <v>5140</v>
      </c>
      <c r="AE89" s="97">
        <v>6561518.9799999995</v>
      </c>
      <c r="AF89" s="97">
        <v>984.5093</v>
      </c>
      <c r="AG89" s="97">
        <v>12228420.520000003</v>
      </c>
      <c r="AH89" s="97">
        <v>1834.7875</v>
      </c>
      <c r="AI89" s="97">
        <v>59548313.5</v>
      </c>
      <c r="AJ89" s="97">
        <v>8934.801</v>
      </c>
      <c r="AK89" s="141">
        <f>VLOOKUP(AA89,'FY 2008 TABLE 15'!$A$11:$M$146,6,FALSE)-AC89</f>
        <v>0</v>
      </c>
      <c r="AL89" s="141">
        <f>VLOOKUP(AA89,'FY 2008 TABLE 15'!$A$11:$M$146,7,FALSE)-AD89</f>
        <v>0</v>
      </c>
      <c r="AM89" s="141">
        <f>VLOOKUP(AA89,'FY 2008 TABLE 15'!$A$11:$M$146,10,FALSE)-AE89</f>
        <v>0</v>
      </c>
      <c r="AN89" s="141">
        <f>VLOOKUP(AA89,'FY 2008 TABLE 15'!$A$11:$M$146,11,FALSE)-AF89</f>
        <v>0.49069999999994707</v>
      </c>
      <c r="AO89" s="141">
        <f>VLOOKUP(AA89,'FY 2008 TABLE 15'!$A$11:$M$146,4,FALSE)-AG89</f>
        <v>37090.490000002086</v>
      </c>
      <c r="AP89" s="141">
        <f>VLOOKUP(AA89,'FY 2008 TABLE 15'!$A$11:$M$146,5,FALSE)-AH89</f>
        <v>5.212500000000091</v>
      </c>
      <c r="AQ89" s="141">
        <f>VLOOKUP(AA89,'FY 2008 TABLE 15'!$A$11:$M$146,12,FALSE)-AI89</f>
        <v>37090.490000002086</v>
      </c>
      <c r="AR89" s="142">
        <f>VLOOKUP(AA89,'FY 2008 TABLE 15'!$A$11:$M$146,13,FALSE)-AJ89</f>
        <v>5.199000000000524</v>
      </c>
    </row>
    <row r="90" spans="1:44" s="29" customFormat="1" ht="15.75">
      <c r="A90" s="46"/>
      <c r="B90" s="46"/>
      <c r="C90" s="46"/>
      <c r="D90" s="46"/>
      <c r="E90" s="46"/>
      <c r="F90" s="46"/>
      <c r="G90" s="46"/>
      <c r="H90" s="46"/>
      <c r="I90" s="133"/>
      <c r="J90" s="136"/>
      <c r="K90" s="46"/>
      <c r="L90" s="46"/>
      <c r="M90" s="46"/>
      <c r="N90" s="46"/>
      <c r="O90" s="46"/>
      <c r="P90" s="46"/>
      <c r="Q90" s="46"/>
      <c r="R90" s="46"/>
      <c r="S90" s="46"/>
      <c r="T90" s="46"/>
      <c r="U90" s="46"/>
      <c r="V90" s="46"/>
      <c r="W90" s="46"/>
      <c r="X90" s="46"/>
      <c r="Y90" s="46"/>
      <c r="Z90" s="46"/>
      <c r="AA90" s="193">
        <v>93</v>
      </c>
      <c r="AB90" s="194" t="s">
        <v>238</v>
      </c>
      <c r="AC90" s="97">
        <v>21157731.639999993</v>
      </c>
      <c r="AD90" s="97">
        <v>4021</v>
      </c>
      <c r="AE90" s="97">
        <v>2691697.98</v>
      </c>
      <c r="AF90" s="97">
        <v>511.515</v>
      </c>
      <c r="AG90" s="97">
        <v>18241157.610000003</v>
      </c>
      <c r="AH90" s="97">
        <v>3466.446</v>
      </c>
      <c r="AI90" s="97">
        <v>47307570.47</v>
      </c>
      <c r="AJ90" s="97">
        <v>8990.062</v>
      </c>
      <c r="AK90" s="141">
        <f>VLOOKUP(AA90,'FY 2008 TABLE 15'!$A$11:$M$146,6,FALSE)-AC90</f>
        <v>0</v>
      </c>
      <c r="AL90" s="141">
        <f>VLOOKUP(AA90,'FY 2008 TABLE 15'!$A$11:$M$146,7,FALSE)-AD90</f>
        <v>0</v>
      </c>
      <c r="AM90" s="141">
        <f>VLOOKUP(AA90,'FY 2008 TABLE 15'!$A$11:$M$146,10,FALSE)-AE90</f>
        <v>0</v>
      </c>
      <c r="AN90" s="141">
        <f>VLOOKUP(AA90,'FY 2008 TABLE 15'!$A$11:$M$146,11,FALSE)-AF90</f>
        <v>0.48500000000001364</v>
      </c>
      <c r="AO90" s="141">
        <f>VLOOKUP(AA90,'FY 2008 TABLE 15'!$A$11:$M$146,4,FALSE)-AG90</f>
        <v>0</v>
      </c>
      <c r="AP90" s="141">
        <f>VLOOKUP(AA90,'FY 2008 TABLE 15'!$A$11:$M$146,5,FALSE)-AH90</f>
        <v>-0.4459999999999127</v>
      </c>
      <c r="AQ90" s="141">
        <f>VLOOKUP(AA90,'FY 2008 TABLE 15'!$A$11:$M$146,12,FALSE)-AI90</f>
        <v>0</v>
      </c>
      <c r="AR90" s="142">
        <f>VLOOKUP(AA90,'FY 2008 TABLE 15'!$A$11:$M$146,13,FALSE)-AJ90</f>
        <v>-0.06199999999989814</v>
      </c>
    </row>
    <row r="91" spans="1:44" s="29" customFormat="1" ht="15.75">
      <c r="A91" s="46"/>
      <c r="B91" s="46"/>
      <c r="C91" s="46"/>
      <c r="D91" s="46"/>
      <c r="E91" s="46"/>
      <c r="F91" s="46"/>
      <c r="G91" s="46"/>
      <c r="H91" s="46"/>
      <c r="I91" s="133"/>
      <c r="J91" s="136"/>
      <c r="K91" s="46"/>
      <c r="L91" s="46"/>
      <c r="M91" s="46"/>
      <c r="N91" s="46"/>
      <c r="O91" s="46"/>
      <c r="P91" s="46"/>
      <c r="Q91" s="46"/>
      <c r="R91" s="46"/>
      <c r="S91" s="46"/>
      <c r="T91" s="46"/>
      <c r="U91" s="46"/>
      <c r="V91" s="46"/>
      <c r="W91" s="46"/>
      <c r="X91" s="46"/>
      <c r="Y91" s="46"/>
      <c r="Z91" s="46"/>
      <c r="AA91" s="193">
        <v>94</v>
      </c>
      <c r="AB91" s="194" t="s">
        <v>239</v>
      </c>
      <c r="AC91" s="97">
        <v>32496485.800000004</v>
      </c>
      <c r="AD91" s="97">
        <v>4443</v>
      </c>
      <c r="AE91" s="97">
        <v>5956011.48</v>
      </c>
      <c r="AF91" s="97">
        <v>814.2446</v>
      </c>
      <c r="AG91" s="97">
        <v>22533797.68</v>
      </c>
      <c r="AH91" s="97">
        <v>3080.589</v>
      </c>
      <c r="AI91" s="97">
        <v>67607698.84</v>
      </c>
      <c r="AJ91" s="97">
        <v>9242.629</v>
      </c>
      <c r="AK91" s="141">
        <f>VLOOKUP(AA91,'FY 2008 TABLE 15'!$A$11:$M$146,6,FALSE)-AC91</f>
        <v>0</v>
      </c>
      <c r="AL91" s="141">
        <f>VLOOKUP(AA91,'FY 2008 TABLE 15'!$A$11:$M$146,7,FALSE)-AD91</f>
        <v>0</v>
      </c>
      <c r="AM91" s="141">
        <f>VLOOKUP(AA91,'FY 2008 TABLE 15'!$A$11:$M$146,10,FALSE)-AE91</f>
        <v>0</v>
      </c>
      <c r="AN91" s="141">
        <f>VLOOKUP(AA91,'FY 2008 TABLE 15'!$A$11:$M$146,11,FALSE)-AF91</f>
        <v>-0.24459999999999127</v>
      </c>
      <c r="AO91" s="141">
        <f>VLOOKUP(AA91,'FY 2008 TABLE 15'!$A$11:$M$146,4,FALSE)-AG91</f>
        <v>0</v>
      </c>
      <c r="AP91" s="141">
        <f>VLOOKUP(AA91,'FY 2008 TABLE 15'!$A$11:$M$146,5,FALSE)-AH91</f>
        <v>0.4110000000000582</v>
      </c>
      <c r="AQ91" s="141">
        <f>VLOOKUP(AA91,'FY 2008 TABLE 15'!$A$11:$M$146,12,FALSE)-AI91</f>
        <v>0</v>
      </c>
      <c r="AR91" s="142">
        <f>VLOOKUP(AA91,'FY 2008 TABLE 15'!$A$11:$M$146,13,FALSE)-AJ91</f>
        <v>0.3709999999991851</v>
      </c>
    </row>
    <row r="92" spans="1:44" s="29" customFormat="1" ht="15.75">
      <c r="A92" s="46"/>
      <c r="B92" s="46"/>
      <c r="C92" s="46"/>
      <c r="D92" s="46"/>
      <c r="E92" s="46"/>
      <c r="F92" s="46"/>
      <c r="G92" s="46"/>
      <c r="H92" s="46"/>
      <c r="I92" s="133"/>
      <c r="J92" s="136"/>
      <c r="K92" s="46"/>
      <c r="L92" s="46"/>
      <c r="M92" s="46"/>
      <c r="N92" s="46"/>
      <c r="O92" s="46"/>
      <c r="P92" s="46"/>
      <c r="Q92" s="46"/>
      <c r="R92" s="46"/>
      <c r="S92" s="46"/>
      <c r="T92" s="46"/>
      <c r="U92" s="46"/>
      <c r="V92" s="46"/>
      <c r="W92" s="46"/>
      <c r="X92" s="46"/>
      <c r="Y92" s="46"/>
      <c r="Z92" s="46"/>
      <c r="AA92" s="193">
        <v>95</v>
      </c>
      <c r="AB92" s="194" t="s">
        <v>240</v>
      </c>
      <c r="AC92" s="97">
        <v>7884433.11</v>
      </c>
      <c r="AD92" s="97">
        <v>4565</v>
      </c>
      <c r="AE92" s="97">
        <v>1972833.23</v>
      </c>
      <c r="AF92" s="97">
        <v>1142.2695</v>
      </c>
      <c r="AG92" s="97">
        <v>5678446.99</v>
      </c>
      <c r="AH92" s="97">
        <v>3287.8182</v>
      </c>
      <c r="AI92" s="97">
        <v>17233985.79</v>
      </c>
      <c r="AJ92" s="97">
        <v>9978.47</v>
      </c>
      <c r="AK92" s="141">
        <f>VLOOKUP(AA92,'FY 2008 TABLE 15'!$A$11:$M$146,6,FALSE)-AC92</f>
        <v>0</v>
      </c>
      <c r="AL92" s="141">
        <f>VLOOKUP(AA92,'FY 2008 TABLE 15'!$A$11:$M$146,7,FALSE)-AD92</f>
        <v>0</v>
      </c>
      <c r="AM92" s="141">
        <f>VLOOKUP(AA92,'FY 2008 TABLE 15'!$A$11:$M$146,10,FALSE)-AE92</f>
        <v>0</v>
      </c>
      <c r="AN92" s="141">
        <f>VLOOKUP(AA92,'FY 2008 TABLE 15'!$A$11:$M$146,11,FALSE)-AF92</f>
        <v>-0.2695000000001073</v>
      </c>
      <c r="AO92" s="141">
        <f>VLOOKUP(AA92,'FY 2008 TABLE 15'!$A$11:$M$146,4,FALSE)-AG92</f>
        <v>0</v>
      </c>
      <c r="AP92" s="141">
        <f>VLOOKUP(AA92,'FY 2008 TABLE 15'!$A$11:$M$146,5,FALSE)-AH92</f>
        <v>0.1817999999998392</v>
      </c>
      <c r="AQ92" s="141">
        <f>VLOOKUP(AA92,'FY 2008 TABLE 15'!$A$11:$M$146,12,FALSE)-AI92</f>
        <v>0</v>
      </c>
      <c r="AR92" s="142">
        <f>VLOOKUP(AA92,'FY 2008 TABLE 15'!$A$11:$M$146,13,FALSE)-AJ92</f>
        <v>-0.46999999999934516</v>
      </c>
    </row>
    <row r="93" spans="1:44" s="29" customFormat="1" ht="15.75">
      <c r="A93" s="46"/>
      <c r="B93" s="46"/>
      <c r="C93" s="46"/>
      <c r="D93" s="46"/>
      <c r="E93" s="46"/>
      <c r="F93" s="46"/>
      <c r="G93" s="46"/>
      <c r="H93" s="46"/>
      <c r="I93" s="133"/>
      <c r="J93" s="136"/>
      <c r="K93" s="46"/>
      <c r="L93" s="46"/>
      <c r="M93" s="46"/>
      <c r="N93" s="46"/>
      <c r="O93" s="46"/>
      <c r="P93" s="46"/>
      <c r="Q93" s="46"/>
      <c r="R93" s="46"/>
      <c r="S93" s="46"/>
      <c r="T93" s="46"/>
      <c r="U93" s="46"/>
      <c r="V93" s="46"/>
      <c r="W93" s="46"/>
      <c r="X93" s="46"/>
      <c r="Y93" s="46"/>
      <c r="Z93" s="46"/>
      <c r="AA93" s="193">
        <v>96</v>
      </c>
      <c r="AB93" s="194" t="s">
        <v>241</v>
      </c>
      <c r="AC93" s="97">
        <v>34172092.72</v>
      </c>
      <c r="AD93" s="97">
        <v>5212</v>
      </c>
      <c r="AE93" s="97">
        <v>8999025.91</v>
      </c>
      <c r="AF93" s="97">
        <v>1372.4944</v>
      </c>
      <c r="AG93" s="97">
        <v>14635277.489999998</v>
      </c>
      <c r="AH93" s="97">
        <v>2232.1122</v>
      </c>
      <c r="AI93" s="97">
        <v>63816023.08</v>
      </c>
      <c r="AJ93" s="97">
        <v>9732.957</v>
      </c>
      <c r="AK93" s="141">
        <f>VLOOKUP(AA93,'FY 2008 TABLE 15'!$A$11:$M$146,6,FALSE)-AC93</f>
        <v>0</v>
      </c>
      <c r="AL93" s="141">
        <f>VLOOKUP(AA93,'FY 2008 TABLE 15'!$A$11:$M$146,7,FALSE)-AD93</f>
        <v>0</v>
      </c>
      <c r="AM93" s="141">
        <f>VLOOKUP(AA93,'FY 2008 TABLE 15'!$A$11:$M$146,10,FALSE)-AE93</f>
        <v>0</v>
      </c>
      <c r="AN93" s="141">
        <f>VLOOKUP(AA93,'FY 2008 TABLE 15'!$A$11:$M$146,11,FALSE)-AF93</f>
        <v>-0.4944000000000415</v>
      </c>
      <c r="AO93" s="141">
        <f>VLOOKUP(AA93,'FY 2008 TABLE 15'!$A$11:$M$146,4,FALSE)-AG93</f>
        <v>0</v>
      </c>
      <c r="AP93" s="141">
        <f>VLOOKUP(AA93,'FY 2008 TABLE 15'!$A$11:$M$146,5,FALSE)-AH93</f>
        <v>-0.11220000000002983</v>
      </c>
      <c r="AQ93" s="141">
        <f>VLOOKUP(AA93,'FY 2008 TABLE 15'!$A$11:$M$146,12,FALSE)-AI93</f>
        <v>0</v>
      </c>
      <c r="AR93" s="142">
        <f>VLOOKUP(AA93,'FY 2008 TABLE 15'!$A$11:$M$146,13,FALSE)-AJ93</f>
        <v>0.042999999999665306</v>
      </c>
    </row>
    <row r="94" spans="1:44" s="29" customFormat="1" ht="15.75">
      <c r="A94" s="46"/>
      <c r="B94" s="46"/>
      <c r="C94" s="46"/>
      <c r="D94" s="46"/>
      <c r="E94" s="46"/>
      <c r="F94" s="46"/>
      <c r="G94" s="46"/>
      <c r="H94" s="46"/>
      <c r="I94" s="133"/>
      <c r="J94" s="136"/>
      <c r="K94" s="46"/>
      <c r="L94" s="46"/>
      <c r="M94" s="46"/>
      <c r="N94" s="46"/>
      <c r="O94" s="46"/>
      <c r="P94" s="46"/>
      <c r="Q94" s="46"/>
      <c r="R94" s="46"/>
      <c r="S94" s="46"/>
      <c r="T94" s="46"/>
      <c r="U94" s="46"/>
      <c r="V94" s="46"/>
      <c r="W94" s="46"/>
      <c r="X94" s="46"/>
      <c r="Y94" s="46"/>
      <c r="Z94" s="46"/>
      <c r="AA94" s="193">
        <v>97</v>
      </c>
      <c r="AB94" s="194" t="s">
        <v>242</v>
      </c>
      <c r="AC94" s="97">
        <v>20170519.75</v>
      </c>
      <c r="AD94" s="97">
        <v>4723</v>
      </c>
      <c r="AE94" s="97">
        <v>4374786.14</v>
      </c>
      <c r="AF94" s="97">
        <v>1024.308</v>
      </c>
      <c r="AG94" s="97">
        <v>10645787.129999999</v>
      </c>
      <c r="AH94" s="97">
        <v>2492.5938</v>
      </c>
      <c r="AI94" s="97">
        <v>39105847.36</v>
      </c>
      <c r="AJ94" s="97">
        <v>9156.2035</v>
      </c>
      <c r="AK94" s="141">
        <f>VLOOKUP(AA94,'FY 2008 TABLE 15'!$A$11:$M$146,6,FALSE)-AC94</f>
        <v>0</v>
      </c>
      <c r="AL94" s="141">
        <f>VLOOKUP(AA94,'FY 2008 TABLE 15'!$A$11:$M$146,7,FALSE)-AD94</f>
        <v>0</v>
      </c>
      <c r="AM94" s="141">
        <f>VLOOKUP(AA94,'FY 2008 TABLE 15'!$A$11:$M$146,10,FALSE)-AE94</f>
        <v>0</v>
      </c>
      <c r="AN94" s="141">
        <f>VLOOKUP(AA94,'FY 2008 TABLE 15'!$A$11:$M$146,11,FALSE)-AF94</f>
        <v>-0.3079999999999927</v>
      </c>
      <c r="AO94" s="141">
        <f>VLOOKUP(AA94,'FY 2008 TABLE 15'!$A$11:$M$146,4,FALSE)-AG94</f>
        <v>0</v>
      </c>
      <c r="AP94" s="141">
        <f>VLOOKUP(AA94,'FY 2008 TABLE 15'!$A$11:$M$146,5,FALSE)-AH94</f>
        <v>0.40619999999989886</v>
      </c>
      <c r="AQ94" s="141">
        <f>VLOOKUP(AA94,'FY 2008 TABLE 15'!$A$11:$M$146,12,FALSE)-AI94</f>
        <v>0</v>
      </c>
      <c r="AR94" s="142">
        <f>VLOOKUP(AA94,'FY 2008 TABLE 15'!$A$11:$M$146,13,FALSE)-AJ94</f>
        <v>-0.20349999999962165</v>
      </c>
    </row>
    <row r="95" spans="1:44" s="29" customFormat="1" ht="15.75">
      <c r="A95" s="46"/>
      <c r="B95" s="46"/>
      <c r="C95" s="46"/>
      <c r="D95" s="46"/>
      <c r="E95" s="46"/>
      <c r="F95" s="46"/>
      <c r="G95" s="46"/>
      <c r="H95" s="46"/>
      <c r="I95" s="133"/>
      <c r="J95" s="136"/>
      <c r="K95" s="46"/>
      <c r="L95" s="46"/>
      <c r="M95" s="46"/>
      <c r="N95" s="46"/>
      <c r="O95" s="46"/>
      <c r="P95" s="46"/>
      <c r="Q95" s="46"/>
      <c r="R95" s="46"/>
      <c r="S95" s="46"/>
      <c r="T95" s="46"/>
      <c r="U95" s="46"/>
      <c r="V95" s="46"/>
      <c r="W95" s="46"/>
      <c r="X95" s="46"/>
      <c r="Y95" s="46"/>
      <c r="Z95" s="46"/>
      <c r="AA95" s="193">
        <v>98</v>
      </c>
      <c r="AB95" s="194" t="s">
        <v>243</v>
      </c>
      <c r="AC95" s="97">
        <v>49987117.74</v>
      </c>
      <c r="AD95" s="97">
        <v>3919</v>
      </c>
      <c r="AE95" s="97">
        <v>13545786.93</v>
      </c>
      <c r="AF95" s="97">
        <v>1061.882</v>
      </c>
      <c r="AG95" s="97">
        <v>45030509.17000002</v>
      </c>
      <c r="AH95" s="97">
        <v>3530.0339</v>
      </c>
      <c r="AI95" s="97">
        <v>119500471.38000001</v>
      </c>
      <c r="AJ95" s="97">
        <v>9367.8868</v>
      </c>
      <c r="AK95" s="141">
        <f>VLOOKUP(AA95,'FY 2008 TABLE 15'!$A$11:$M$146,6,FALSE)-AC95</f>
        <v>0</v>
      </c>
      <c r="AL95" s="141">
        <f>VLOOKUP(AA95,'FY 2008 TABLE 15'!$A$11:$M$146,7,FALSE)-AD95</f>
        <v>0</v>
      </c>
      <c r="AM95" s="141">
        <f>VLOOKUP(AA95,'FY 2008 TABLE 15'!$A$11:$M$146,10,FALSE)-AE95</f>
        <v>0</v>
      </c>
      <c r="AN95" s="141">
        <f>VLOOKUP(AA95,'FY 2008 TABLE 15'!$A$11:$M$146,11,FALSE)-AF95</f>
        <v>0.11799999999993815</v>
      </c>
      <c r="AO95" s="141">
        <f>VLOOKUP(AA95,'FY 2008 TABLE 15'!$A$11:$M$146,4,FALSE)-AG95</f>
        <v>0</v>
      </c>
      <c r="AP95" s="141">
        <f>VLOOKUP(AA95,'FY 2008 TABLE 15'!$A$11:$M$146,5,FALSE)-AH95</f>
        <v>-0.03389999999990323</v>
      </c>
      <c r="AQ95" s="141">
        <f>VLOOKUP(AA95,'FY 2008 TABLE 15'!$A$11:$M$146,12,FALSE)-AI95</f>
        <v>0</v>
      </c>
      <c r="AR95" s="142">
        <f>VLOOKUP(AA95,'FY 2008 TABLE 15'!$A$11:$M$146,13,FALSE)-AJ95</f>
        <v>0.11319999999977881</v>
      </c>
    </row>
    <row r="96" spans="1:44" s="29" customFormat="1" ht="15.75">
      <c r="A96" s="46"/>
      <c r="B96" s="46"/>
      <c r="C96" s="46"/>
      <c r="D96" s="46"/>
      <c r="E96" s="46"/>
      <c r="F96" s="46"/>
      <c r="G96" s="46"/>
      <c r="H96" s="46"/>
      <c r="I96" s="133"/>
      <c r="J96" s="136"/>
      <c r="K96" s="46"/>
      <c r="L96" s="46"/>
      <c r="M96" s="46"/>
      <c r="N96" s="46"/>
      <c r="O96" s="46"/>
      <c r="P96" s="46"/>
      <c r="Q96" s="46"/>
      <c r="R96" s="46"/>
      <c r="S96" s="46"/>
      <c r="T96" s="46"/>
      <c r="U96" s="46"/>
      <c r="V96" s="46"/>
      <c r="W96" s="46"/>
      <c r="X96" s="46"/>
      <c r="Y96" s="46"/>
      <c r="Z96" s="46"/>
      <c r="AA96" s="195">
        <v>101</v>
      </c>
      <c r="AB96" s="196" t="s">
        <v>245</v>
      </c>
      <c r="AC96" s="97">
        <v>17645337.3</v>
      </c>
      <c r="AD96" s="97">
        <v>1682</v>
      </c>
      <c r="AE96" s="97">
        <v>9036500.54</v>
      </c>
      <c r="AF96" s="97">
        <v>861.5323</v>
      </c>
      <c r="AG96" s="97">
        <v>157926882.15</v>
      </c>
      <c r="AH96" s="97">
        <v>15056.6154</v>
      </c>
      <c r="AI96" s="97">
        <v>195323313.16</v>
      </c>
      <c r="AJ96" s="97">
        <v>18621.9595</v>
      </c>
      <c r="AK96" s="141">
        <f>VLOOKUP(AA96,'FY 2008 TABLE 15'!$A$11:$M$146,6,FALSE)-AC96</f>
        <v>0</v>
      </c>
      <c r="AL96" s="141">
        <f>VLOOKUP(AA96,'FY 2008 TABLE 15'!$A$11:$M$146,7,FALSE)-AD96</f>
        <v>0</v>
      </c>
      <c r="AM96" s="141">
        <f>VLOOKUP(AA96,'FY 2008 TABLE 15'!$A$11:$M$146,10,FALSE)-AE96</f>
        <v>0</v>
      </c>
      <c r="AN96" s="141">
        <f>VLOOKUP(AA96,'FY 2008 TABLE 15'!$A$11:$M$146,11,FALSE)-AF96</f>
        <v>0.4677000000000362</v>
      </c>
      <c r="AO96" s="141">
        <f>VLOOKUP(AA96,'FY 2008 TABLE 15'!$A$11:$M$146,4,FALSE)-AG96</f>
        <v>0</v>
      </c>
      <c r="AP96" s="141">
        <f>VLOOKUP(AA96,'FY 2008 TABLE 15'!$A$11:$M$146,5,FALSE)-AH96</f>
        <v>0.3845999999994092</v>
      </c>
      <c r="AQ96" s="141">
        <f>VLOOKUP(AA96,'FY 2008 TABLE 15'!$A$11:$M$146,12,FALSE)-AI96</f>
        <v>0</v>
      </c>
      <c r="AR96" s="142">
        <f>VLOOKUP(AA96,'FY 2008 TABLE 15'!$A$11:$M$146,13,FALSE)-AJ96</f>
        <v>0.04049999999915599</v>
      </c>
    </row>
    <row r="97" spans="1:44" s="29" customFormat="1" ht="15.75">
      <c r="A97" s="46"/>
      <c r="B97" s="46"/>
      <c r="C97" s="46"/>
      <c r="D97" s="46"/>
      <c r="E97" s="46"/>
      <c r="F97" s="46"/>
      <c r="G97" s="46"/>
      <c r="H97" s="46"/>
      <c r="I97" s="133"/>
      <c r="J97" s="136"/>
      <c r="K97" s="46"/>
      <c r="L97" s="46"/>
      <c r="M97" s="46"/>
      <c r="N97" s="46"/>
      <c r="O97" s="46"/>
      <c r="P97" s="46"/>
      <c r="Q97" s="46"/>
      <c r="R97" s="46"/>
      <c r="S97" s="46"/>
      <c r="T97" s="46"/>
      <c r="U97" s="46"/>
      <c r="V97" s="46"/>
      <c r="W97" s="46"/>
      <c r="X97" s="46"/>
      <c r="Y97" s="46"/>
      <c r="Z97" s="46"/>
      <c r="AA97" s="193">
        <v>102</v>
      </c>
      <c r="AB97" s="194" t="s">
        <v>246</v>
      </c>
      <c r="AC97" s="97">
        <v>11530135.81</v>
      </c>
      <c r="AD97" s="97">
        <v>5068</v>
      </c>
      <c r="AE97" s="97">
        <v>2596253.46</v>
      </c>
      <c r="AF97" s="97">
        <v>1141.1823</v>
      </c>
      <c r="AG97" s="97">
        <v>6305894.869999998</v>
      </c>
      <c r="AH97" s="97">
        <v>2771.7538</v>
      </c>
      <c r="AI97" s="97">
        <v>22688821.08</v>
      </c>
      <c r="AJ97" s="97">
        <v>9972.8632</v>
      </c>
      <c r="AK97" s="141">
        <f>VLOOKUP(AA97,'FY 2008 TABLE 15'!$A$11:$M$146,6,FALSE)-AC97</f>
        <v>0</v>
      </c>
      <c r="AL97" s="141">
        <f>VLOOKUP(AA97,'FY 2008 TABLE 15'!$A$11:$M$146,7,FALSE)-AD97</f>
        <v>0</v>
      </c>
      <c r="AM97" s="141">
        <f>VLOOKUP(AA97,'FY 2008 TABLE 15'!$A$11:$M$146,10,FALSE)-AE97</f>
        <v>0</v>
      </c>
      <c r="AN97" s="141">
        <f>VLOOKUP(AA97,'FY 2008 TABLE 15'!$A$11:$M$146,11,FALSE)-AF97</f>
        <v>-0.18229999999994106</v>
      </c>
      <c r="AO97" s="141">
        <f>VLOOKUP(AA97,'FY 2008 TABLE 15'!$A$11:$M$146,4,FALSE)-AG97</f>
        <v>0</v>
      </c>
      <c r="AP97" s="141">
        <f>VLOOKUP(AA97,'FY 2008 TABLE 15'!$A$11:$M$146,5,FALSE)-AH97</f>
        <v>0.24620000000004438</v>
      </c>
      <c r="AQ97" s="141">
        <f>VLOOKUP(AA97,'FY 2008 TABLE 15'!$A$11:$M$146,12,FALSE)-AI97</f>
        <v>0</v>
      </c>
      <c r="AR97" s="142">
        <f>VLOOKUP(AA97,'FY 2008 TABLE 15'!$A$11:$M$146,13,FALSE)-AJ97</f>
        <v>0.1368000000002212</v>
      </c>
    </row>
    <row r="98" spans="1:44" s="29" customFormat="1" ht="15.75">
      <c r="A98" s="46"/>
      <c r="B98" s="46"/>
      <c r="C98" s="46"/>
      <c r="D98" s="46"/>
      <c r="E98" s="46"/>
      <c r="F98" s="46"/>
      <c r="G98" s="46"/>
      <c r="H98" s="46"/>
      <c r="I98" s="133"/>
      <c r="J98" s="136"/>
      <c r="K98" s="46"/>
      <c r="L98" s="46"/>
      <c r="M98" s="46"/>
      <c r="N98" s="46"/>
      <c r="O98" s="46"/>
      <c r="P98" s="46"/>
      <c r="Q98" s="46"/>
      <c r="R98" s="46"/>
      <c r="S98" s="46"/>
      <c r="T98" s="46"/>
      <c r="U98" s="46"/>
      <c r="V98" s="46"/>
      <c r="W98" s="46"/>
      <c r="X98" s="46"/>
      <c r="Y98" s="46"/>
      <c r="Z98" s="46"/>
      <c r="AA98" s="193">
        <v>103</v>
      </c>
      <c r="AB98" s="194" t="s">
        <v>247</v>
      </c>
      <c r="AC98" s="97">
        <v>6303031.05</v>
      </c>
      <c r="AD98" s="97">
        <v>5468</v>
      </c>
      <c r="AE98" s="97">
        <v>502824.33</v>
      </c>
      <c r="AF98" s="97">
        <v>436.1918</v>
      </c>
      <c r="AG98" s="97">
        <v>2623043.21</v>
      </c>
      <c r="AH98" s="97">
        <v>2275.4469</v>
      </c>
      <c r="AI98" s="97">
        <v>10368192.4</v>
      </c>
      <c r="AJ98" s="97">
        <v>8994.2364</v>
      </c>
      <c r="AK98" s="141">
        <f>VLOOKUP(AA98,'FY 2008 TABLE 15'!$A$11:$M$146,6,FALSE)-AC98</f>
        <v>0</v>
      </c>
      <c r="AL98" s="141">
        <f>VLOOKUP(AA98,'FY 2008 TABLE 15'!$A$11:$M$146,7,FALSE)-AD98</f>
        <v>0</v>
      </c>
      <c r="AM98" s="141">
        <f>VLOOKUP(AA98,'FY 2008 TABLE 15'!$A$11:$M$146,10,FALSE)-AE98</f>
        <v>0</v>
      </c>
      <c r="AN98" s="141">
        <f>VLOOKUP(AA98,'FY 2008 TABLE 15'!$A$11:$M$146,11,FALSE)-AF98</f>
        <v>-0.19180000000000064</v>
      </c>
      <c r="AO98" s="141">
        <f>VLOOKUP(AA98,'FY 2008 TABLE 15'!$A$11:$M$146,4,FALSE)-AG98</f>
        <v>0</v>
      </c>
      <c r="AP98" s="141">
        <f>VLOOKUP(AA98,'FY 2008 TABLE 15'!$A$11:$M$146,5,FALSE)-AH98</f>
        <v>-0.44689999999991414</v>
      </c>
      <c r="AQ98" s="141">
        <f>VLOOKUP(AA98,'FY 2008 TABLE 15'!$A$11:$M$146,12,FALSE)-AI98</f>
        <v>0</v>
      </c>
      <c r="AR98" s="142">
        <f>VLOOKUP(AA98,'FY 2008 TABLE 15'!$A$11:$M$146,13,FALSE)-AJ98</f>
        <v>-0.2363999999997759</v>
      </c>
    </row>
    <row r="99" spans="1:44" s="29" customFormat="1" ht="15.75">
      <c r="A99" s="46"/>
      <c r="B99" s="46"/>
      <c r="C99" s="46"/>
      <c r="D99" s="46"/>
      <c r="E99" s="46"/>
      <c r="F99" s="46"/>
      <c r="G99" s="46"/>
      <c r="H99" s="46"/>
      <c r="I99" s="133"/>
      <c r="J99" s="136"/>
      <c r="K99" s="46"/>
      <c r="L99" s="46"/>
      <c r="M99" s="46"/>
      <c r="N99" s="46"/>
      <c r="O99" s="46"/>
      <c r="P99" s="46"/>
      <c r="Q99" s="46"/>
      <c r="R99" s="46"/>
      <c r="S99" s="46"/>
      <c r="T99" s="46"/>
      <c r="U99" s="46"/>
      <c r="V99" s="46"/>
      <c r="W99" s="46"/>
      <c r="X99" s="46"/>
      <c r="Y99" s="46"/>
      <c r="Z99" s="46"/>
      <c r="AA99" s="193">
        <v>104</v>
      </c>
      <c r="AB99" s="194" t="s">
        <v>248</v>
      </c>
      <c r="AC99" s="97">
        <v>11548508.14</v>
      </c>
      <c r="AD99" s="97">
        <v>2957</v>
      </c>
      <c r="AE99" s="97">
        <v>5028206.17</v>
      </c>
      <c r="AF99" s="97">
        <v>1287.6621</v>
      </c>
      <c r="AG99" s="97">
        <v>39088247.53999999</v>
      </c>
      <c r="AH99" s="97">
        <v>10010.0223</v>
      </c>
      <c r="AI99" s="97">
        <v>60582350.69</v>
      </c>
      <c r="AJ99" s="97">
        <v>15514.3994</v>
      </c>
      <c r="AK99" s="141">
        <f>VLOOKUP(AA99,'FY 2008 TABLE 15'!$A$11:$M$146,6,FALSE)-AC99</f>
        <v>0</v>
      </c>
      <c r="AL99" s="141">
        <f>VLOOKUP(AA99,'FY 2008 TABLE 15'!$A$11:$M$146,7,FALSE)-AD99</f>
        <v>0</v>
      </c>
      <c r="AM99" s="141">
        <f>VLOOKUP(AA99,'FY 2008 TABLE 15'!$A$11:$M$146,10,FALSE)-AE99</f>
        <v>0</v>
      </c>
      <c r="AN99" s="141">
        <f>VLOOKUP(AA99,'FY 2008 TABLE 15'!$A$11:$M$146,11,FALSE)-AF99</f>
        <v>0.33789999999999054</v>
      </c>
      <c r="AO99" s="141">
        <f>VLOOKUP(AA99,'FY 2008 TABLE 15'!$A$11:$M$146,4,FALSE)-AG99</f>
        <v>0</v>
      </c>
      <c r="AP99" s="141">
        <f>VLOOKUP(AA99,'FY 2008 TABLE 15'!$A$11:$M$146,5,FALSE)-AH99</f>
        <v>-0.02230000000054133</v>
      </c>
      <c r="AQ99" s="141">
        <f>VLOOKUP(AA99,'FY 2008 TABLE 15'!$A$11:$M$146,12,FALSE)-AI99</f>
        <v>0</v>
      </c>
      <c r="AR99" s="142">
        <f>VLOOKUP(AA99,'FY 2008 TABLE 15'!$A$11:$M$146,13,FALSE)-AJ99</f>
        <v>-0.39940000000024156</v>
      </c>
    </row>
    <row r="100" spans="1:44" s="29" customFormat="1" ht="15.75">
      <c r="A100" s="46"/>
      <c r="B100" s="46"/>
      <c r="C100" s="46"/>
      <c r="D100" s="46"/>
      <c r="E100" s="46"/>
      <c r="F100" s="46"/>
      <c r="G100" s="46"/>
      <c r="H100" s="46"/>
      <c r="I100" s="133"/>
      <c r="J100" s="136"/>
      <c r="K100" s="46"/>
      <c r="L100" s="46"/>
      <c r="M100" s="46"/>
      <c r="N100" s="46"/>
      <c r="O100" s="46"/>
      <c r="P100" s="46"/>
      <c r="Q100" s="46"/>
      <c r="R100" s="46"/>
      <c r="S100" s="46"/>
      <c r="T100" s="46"/>
      <c r="U100" s="46"/>
      <c r="V100" s="46"/>
      <c r="W100" s="46"/>
      <c r="X100" s="46"/>
      <c r="Y100" s="46"/>
      <c r="Z100" s="46"/>
      <c r="AA100" s="193">
        <v>106</v>
      </c>
      <c r="AB100" s="194" t="s">
        <v>277</v>
      </c>
      <c r="AC100" s="97">
        <v>10402763.469999999</v>
      </c>
      <c r="AD100" s="97">
        <v>3606</v>
      </c>
      <c r="AE100" s="97">
        <v>1331058.14</v>
      </c>
      <c r="AF100" s="97">
        <v>461.4241</v>
      </c>
      <c r="AG100" s="97">
        <v>18628974.080000002</v>
      </c>
      <c r="AH100" s="97">
        <v>6457.9127</v>
      </c>
      <c r="AI100" s="97">
        <v>32998003.330000002</v>
      </c>
      <c r="AJ100" s="97">
        <v>11439.0746</v>
      </c>
      <c r="AK100" s="141">
        <f>VLOOKUP(AA100,'FY 2008 TABLE 15'!$A$11:$M$146,6,FALSE)-AC100</f>
        <v>0</v>
      </c>
      <c r="AL100" s="141">
        <f>VLOOKUP(AA100,'FY 2008 TABLE 15'!$A$11:$M$146,7,FALSE)-AD100</f>
        <v>0</v>
      </c>
      <c r="AM100" s="141">
        <f>VLOOKUP(AA100,'FY 2008 TABLE 15'!$A$11:$M$146,10,FALSE)-AE100</f>
        <v>0</v>
      </c>
      <c r="AN100" s="141">
        <f>VLOOKUP(AA100,'FY 2008 TABLE 15'!$A$11:$M$146,11,FALSE)-AF100</f>
        <v>-0.4241000000000099</v>
      </c>
      <c r="AO100" s="141">
        <f>VLOOKUP(AA100,'FY 2008 TABLE 15'!$A$11:$M$146,4,FALSE)-AG100</f>
        <v>0</v>
      </c>
      <c r="AP100" s="141">
        <f>VLOOKUP(AA100,'FY 2008 TABLE 15'!$A$11:$M$146,5,FALSE)-AH100</f>
        <v>0.08730000000014115</v>
      </c>
      <c r="AQ100" s="141">
        <f>VLOOKUP(AA100,'FY 2008 TABLE 15'!$A$11:$M$146,12,FALSE)-AI100</f>
        <v>0</v>
      </c>
      <c r="AR100" s="142">
        <f>VLOOKUP(AA100,'FY 2008 TABLE 15'!$A$11:$M$146,13,FALSE)-AJ100</f>
        <v>-0.07459999999991851</v>
      </c>
    </row>
    <row r="101" spans="1:44" s="29" customFormat="1" ht="15.75">
      <c r="A101" s="46"/>
      <c r="B101" s="46"/>
      <c r="C101" s="46"/>
      <c r="D101" s="46"/>
      <c r="E101" s="46"/>
      <c r="F101" s="46"/>
      <c r="G101" s="46"/>
      <c r="H101" s="46"/>
      <c r="I101" s="133"/>
      <c r="J101" s="136"/>
      <c r="K101" s="46"/>
      <c r="L101" s="46"/>
      <c r="M101" s="46"/>
      <c r="N101" s="46"/>
      <c r="O101" s="46"/>
      <c r="P101" s="46"/>
      <c r="Q101" s="46"/>
      <c r="R101" s="46"/>
      <c r="S101" s="46"/>
      <c r="T101" s="46"/>
      <c r="U101" s="46"/>
      <c r="V101" s="46"/>
      <c r="W101" s="46"/>
      <c r="X101" s="46"/>
      <c r="Y101" s="46"/>
      <c r="Z101" s="46"/>
      <c r="AA101" s="193">
        <v>107</v>
      </c>
      <c r="AB101" s="194" t="s">
        <v>250</v>
      </c>
      <c r="AC101" s="97">
        <v>4986703.94</v>
      </c>
      <c r="AD101" s="97">
        <v>5709</v>
      </c>
      <c r="AE101" s="97">
        <v>862656.71</v>
      </c>
      <c r="AF101" s="97">
        <v>987.6555</v>
      </c>
      <c r="AG101" s="97">
        <v>4122781.07</v>
      </c>
      <c r="AH101" s="97">
        <v>4720.1713</v>
      </c>
      <c r="AI101" s="97">
        <v>10557649.870000001</v>
      </c>
      <c r="AJ101" s="97">
        <v>12087.4515</v>
      </c>
      <c r="AK101" s="141">
        <f>VLOOKUP(AA101,'FY 2008 TABLE 15'!$A$11:$M$146,6,FALSE)-AC101</f>
        <v>0</v>
      </c>
      <c r="AL101" s="141">
        <f>VLOOKUP(AA101,'FY 2008 TABLE 15'!$A$11:$M$146,7,FALSE)-AD101</f>
        <v>0</v>
      </c>
      <c r="AM101" s="141">
        <f>VLOOKUP(AA101,'FY 2008 TABLE 15'!$A$11:$M$146,10,FALSE)-AE101</f>
        <v>0</v>
      </c>
      <c r="AN101" s="141">
        <f>VLOOKUP(AA101,'FY 2008 TABLE 15'!$A$11:$M$146,11,FALSE)-AF101</f>
        <v>0.3445000000000391</v>
      </c>
      <c r="AO101" s="141">
        <f>VLOOKUP(AA101,'FY 2008 TABLE 15'!$A$11:$M$146,4,FALSE)-AG101</f>
        <v>0</v>
      </c>
      <c r="AP101" s="141">
        <f>VLOOKUP(AA101,'FY 2008 TABLE 15'!$A$11:$M$146,5,FALSE)-AH101</f>
        <v>-0.1712999999999738</v>
      </c>
      <c r="AQ101" s="141">
        <f>VLOOKUP(AA101,'FY 2008 TABLE 15'!$A$11:$M$146,12,FALSE)-AI101</f>
        <v>0</v>
      </c>
      <c r="AR101" s="142">
        <f>VLOOKUP(AA101,'FY 2008 TABLE 15'!$A$11:$M$146,13,FALSE)-AJ101</f>
        <v>-0.4514999999992142</v>
      </c>
    </row>
    <row r="102" spans="1:44" s="29" customFormat="1" ht="15.75">
      <c r="A102" s="46"/>
      <c r="B102" s="46"/>
      <c r="C102" s="46"/>
      <c r="D102" s="46"/>
      <c r="E102" s="46"/>
      <c r="F102" s="46"/>
      <c r="G102" s="46"/>
      <c r="H102" s="46"/>
      <c r="I102" s="133"/>
      <c r="J102" s="136"/>
      <c r="K102" s="46"/>
      <c r="L102" s="46"/>
      <c r="M102" s="46"/>
      <c r="N102" s="46"/>
      <c r="O102" s="46"/>
      <c r="P102" s="46"/>
      <c r="Q102" s="46"/>
      <c r="R102" s="46"/>
      <c r="S102" s="46"/>
      <c r="T102" s="46"/>
      <c r="U102" s="46"/>
      <c r="V102" s="46"/>
      <c r="W102" s="46"/>
      <c r="X102" s="46"/>
      <c r="Y102" s="46"/>
      <c r="Z102" s="46"/>
      <c r="AA102" s="193">
        <v>108</v>
      </c>
      <c r="AB102" s="194" t="s">
        <v>251</v>
      </c>
      <c r="AC102" s="97">
        <v>32528014.919999998</v>
      </c>
      <c r="AD102" s="97">
        <v>5019</v>
      </c>
      <c r="AE102" s="97">
        <v>7204734.119999999</v>
      </c>
      <c r="AF102" s="97">
        <v>1111.6873</v>
      </c>
      <c r="AG102" s="97">
        <v>19060167.18</v>
      </c>
      <c r="AH102" s="97">
        <v>2940.9754</v>
      </c>
      <c r="AI102" s="97">
        <v>65551042.97</v>
      </c>
      <c r="AJ102" s="97">
        <v>10114.4969</v>
      </c>
      <c r="AK102" s="141">
        <f>VLOOKUP(AA102,'FY 2008 TABLE 15'!$A$11:$M$146,6,FALSE)-AC102</f>
        <v>0</v>
      </c>
      <c r="AL102" s="141">
        <f>VLOOKUP(AA102,'FY 2008 TABLE 15'!$A$11:$M$146,7,FALSE)-AD102</f>
        <v>0</v>
      </c>
      <c r="AM102" s="141">
        <f>VLOOKUP(AA102,'FY 2008 TABLE 15'!$A$11:$M$146,10,FALSE)-AE102</f>
        <v>0</v>
      </c>
      <c r="AN102" s="141">
        <f>VLOOKUP(AA102,'FY 2008 TABLE 15'!$A$11:$M$146,11,FALSE)-AF102</f>
        <v>0.3126999999999498</v>
      </c>
      <c r="AO102" s="141">
        <f>VLOOKUP(AA102,'FY 2008 TABLE 15'!$A$11:$M$146,4,FALSE)-AG102</f>
        <v>0</v>
      </c>
      <c r="AP102" s="141">
        <f>VLOOKUP(AA102,'FY 2008 TABLE 15'!$A$11:$M$146,5,FALSE)-AH102</f>
        <v>0.024600000000191358</v>
      </c>
      <c r="AQ102" s="141">
        <f>VLOOKUP(AA102,'FY 2008 TABLE 15'!$A$11:$M$146,12,FALSE)-AI102</f>
        <v>0</v>
      </c>
      <c r="AR102" s="142">
        <f>VLOOKUP(AA102,'FY 2008 TABLE 15'!$A$11:$M$146,13,FALSE)-AJ102</f>
        <v>-0.49690000000009604</v>
      </c>
    </row>
    <row r="103" spans="1:44" s="29" customFormat="1" ht="15.75">
      <c r="A103" s="46"/>
      <c r="B103" s="46"/>
      <c r="C103" s="46"/>
      <c r="D103" s="46"/>
      <c r="E103" s="46"/>
      <c r="F103" s="46"/>
      <c r="G103" s="46"/>
      <c r="H103" s="46"/>
      <c r="I103" s="133"/>
      <c r="J103" s="136"/>
      <c r="K103" s="46"/>
      <c r="L103" s="46"/>
      <c r="M103" s="46"/>
      <c r="N103" s="46"/>
      <c r="O103" s="46"/>
      <c r="P103" s="46"/>
      <c r="Q103" s="46"/>
      <c r="R103" s="46"/>
      <c r="S103" s="46"/>
      <c r="T103" s="46"/>
      <c r="U103" s="46"/>
      <c r="V103" s="46"/>
      <c r="W103" s="46"/>
      <c r="X103" s="46"/>
      <c r="Y103" s="46"/>
      <c r="Z103" s="46"/>
      <c r="AA103" s="193">
        <v>109</v>
      </c>
      <c r="AB103" s="194" t="s">
        <v>252</v>
      </c>
      <c r="AC103" s="97">
        <v>2900173.85</v>
      </c>
      <c r="AD103" s="97">
        <v>1511</v>
      </c>
      <c r="AE103" s="97">
        <v>552447.83</v>
      </c>
      <c r="AF103" s="97">
        <v>287.8557</v>
      </c>
      <c r="AG103" s="97">
        <v>30741817.250000004</v>
      </c>
      <c r="AH103" s="97">
        <v>16018.1761</v>
      </c>
      <c r="AI103" s="97">
        <v>35979379.81</v>
      </c>
      <c r="AJ103" s="97">
        <v>18747.234</v>
      </c>
      <c r="AK103" s="141">
        <f>VLOOKUP(AA103,'FY 2008 TABLE 15'!$A$11:$M$146,6,FALSE)-AC103</f>
        <v>0</v>
      </c>
      <c r="AL103" s="141">
        <f>VLOOKUP(AA103,'FY 2008 TABLE 15'!$A$11:$M$146,7,FALSE)-AD103</f>
        <v>0</v>
      </c>
      <c r="AM103" s="141">
        <f>VLOOKUP(AA103,'FY 2008 TABLE 15'!$A$11:$M$146,10,FALSE)-AE103</f>
        <v>0</v>
      </c>
      <c r="AN103" s="141">
        <f>VLOOKUP(AA103,'FY 2008 TABLE 15'!$A$11:$M$146,11,FALSE)-AF103</f>
        <v>0.144299999999987</v>
      </c>
      <c r="AO103" s="141">
        <f>VLOOKUP(AA103,'FY 2008 TABLE 15'!$A$11:$M$146,4,FALSE)-AG103</f>
        <v>0</v>
      </c>
      <c r="AP103" s="141">
        <f>VLOOKUP(AA103,'FY 2008 TABLE 15'!$A$11:$M$146,5,FALSE)-AH103</f>
        <v>-0.1761000000005879</v>
      </c>
      <c r="AQ103" s="141">
        <f>VLOOKUP(AA103,'FY 2008 TABLE 15'!$A$11:$M$146,12,FALSE)-AI103</f>
        <v>0</v>
      </c>
      <c r="AR103" s="142">
        <f>VLOOKUP(AA103,'FY 2008 TABLE 15'!$A$11:$M$146,13,FALSE)-AJ103</f>
        <v>-0.23400000000037835</v>
      </c>
    </row>
    <row r="104" spans="1:44" s="29" customFormat="1" ht="15.75">
      <c r="A104" s="46"/>
      <c r="B104" s="46"/>
      <c r="C104" s="46"/>
      <c r="D104" s="46"/>
      <c r="E104" s="46"/>
      <c r="F104" s="46"/>
      <c r="G104" s="46"/>
      <c r="H104" s="46"/>
      <c r="I104" s="133"/>
      <c r="J104" s="136"/>
      <c r="K104" s="46"/>
      <c r="L104" s="46"/>
      <c r="M104" s="46"/>
      <c r="N104" s="46"/>
      <c r="O104" s="46"/>
      <c r="P104" s="46"/>
      <c r="Q104" s="46"/>
      <c r="R104" s="46"/>
      <c r="S104" s="46"/>
      <c r="T104" s="46"/>
      <c r="U104" s="46"/>
      <c r="V104" s="46"/>
      <c r="W104" s="46"/>
      <c r="X104" s="46"/>
      <c r="Y104" s="46"/>
      <c r="Z104" s="46"/>
      <c r="AA104" s="193">
        <v>110</v>
      </c>
      <c r="AB104" s="194" t="s">
        <v>278</v>
      </c>
      <c r="AC104" s="97">
        <v>4776153.63</v>
      </c>
      <c r="AD104" s="97">
        <v>1856</v>
      </c>
      <c r="AE104" s="97">
        <v>2163666.43</v>
      </c>
      <c r="AF104" s="97">
        <v>840.9531</v>
      </c>
      <c r="AG104" s="97">
        <v>24416417.24</v>
      </c>
      <c r="AH104" s="97">
        <v>9489.9389</v>
      </c>
      <c r="AI104" s="97">
        <v>33762229.18</v>
      </c>
      <c r="AJ104" s="97">
        <v>13122.3795</v>
      </c>
      <c r="AK104" s="141">
        <f>VLOOKUP(AA104,'FY 2008 TABLE 15'!$A$11:$M$146,6,FALSE)-AC104</f>
        <v>0</v>
      </c>
      <c r="AL104" s="141">
        <f>VLOOKUP(AA104,'FY 2008 TABLE 15'!$A$11:$M$146,7,FALSE)-AD104</f>
        <v>0</v>
      </c>
      <c r="AM104" s="141">
        <f>VLOOKUP(AA104,'FY 2008 TABLE 15'!$A$11:$M$146,10,FALSE)-AE104</f>
        <v>0</v>
      </c>
      <c r="AN104" s="141">
        <f>VLOOKUP(AA104,'FY 2008 TABLE 15'!$A$11:$M$146,11,FALSE)-AF104</f>
        <v>0.04690000000005057</v>
      </c>
      <c r="AO104" s="141">
        <f>VLOOKUP(AA104,'FY 2008 TABLE 15'!$A$11:$M$146,4,FALSE)-AG104</f>
        <v>0</v>
      </c>
      <c r="AP104" s="141">
        <f>VLOOKUP(AA104,'FY 2008 TABLE 15'!$A$11:$M$146,5,FALSE)-AH104</f>
        <v>0.061100000000806176</v>
      </c>
      <c r="AQ104" s="141">
        <f>VLOOKUP(AA104,'FY 2008 TABLE 15'!$A$11:$M$146,12,FALSE)-AI104</f>
        <v>0</v>
      </c>
      <c r="AR104" s="142">
        <f>VLOOKUP(AA104,'FY 2008 TABLE 15'!$A$11:$M$146,13,FALSE)-AJ104</f>
        <v>-0.3794999999990978</v>
      </c>
    </row>
    <row r="105" spans="1:44" s="29" customFormat="1" ht="15.75">
      <c r="A105" s="46"/>
      <c r="B105" s="46"/>
      <c r="C105" s="46"/>
      <c r="D105" s="46"/>
      <c r="E105" s="46"/>
      <c r="F105" s="46"/>
      <c r="G105" s="46"/>
      <c r="H105" s="46"/>
      <c r="I105" s="133"/>
      <c r="J105" s="136"/>
      <c r="K105" s="46"/>
      <c r="L105" s="46"/>
      <c r="M105" s="46"/>
      <c r="N105" s="46"/>
      <c r="O105" s="46"/>
      <c r="P105" s="46"/>
      <c r="Q105" s="46"/>
      <c r="R105" s="46"/>
      <c r="S105" s="46"/>
      <c r="T105" s="46"/>
      <c r="U105" s="46"/>
      <c r="V105" s="46"/>
      <c r="W105" s="46"/>
      <c r="X105" s="46"/>
      <c r="Y105" s="46"/>
      <c r="Z105" s="46"/>
      <c r="AA105" s="193">
        <v>111</v>
      </c>
      <c r="AB105" s="194" t="s">
        <v>253</v>
      </c>
      <c r="AC105" s="97">
        <v>6100115.86</v>
      </c>
      <c r="AD105" s="97">
        <v>4630</v>
      </c>
      <c r="AE105" s="97">
        <v>1291187.38</v>
      </c>
      <c r="AF105" s="97">
        <v>980.0115</v>
      </c>
      <c r="AG105" s="97">
        <v>3334826.53</v>
      </c>
      <c r="AH105" s="97">
        <v>2531.1341</v>
      </c>
      <c r="AI105" s="97">
        <v>11731081.51</v>
      </c>
      <c r="AJ105" s="97">
        <v>8903.8936</v>
      </c>
      <c r="AK105" s="141">
        <f>VLOOKUP(AA105,'FY 2008 TABLE 15'!$A$11:$M$146,6,FALSE)-AC105</f>
        <v>0</v>
      </c>
      <c r="AL105" s="141">
        <f>VLOOKUP(AA105,'FY 2008 TABLE 15'!$A$11:$M$146,7,FALSE)-AD105</f>
        <v>0</v>
      </c>
      <c r="AM105" s="141">
        <f>VLOOKUP(AA105,'FY 2008 TABLE 15'!$A$11:$M$146,10,FALSE)-AE105</f>
        <v>0</v>
      </c>
      <c r="AN105" s="141">
        <f>VLOOKUP(AA105,'FY 2008 TABLE 15'!$A$11:$M$146,11,FALSE)-AF105</f>
        <v>-0.011499999999955435</v>
      </c>
      <c r="AO105" s="141">
        <f>VLOOKUP(AA105,'FY 2008 TABLE 15'!$A$11:$M$146,4,FALSE)-AG105</f>
        <v>0</v>
      </c>
      <c r="AP105" s="141">
        <f>VLOOKUP(AA105,'FY 2008 TABLE 15'!$A$11:$M$146,5,FALSE)-AH105</f>
        <v>-0.13410000000021682</v>
      </c>
      <c r="AQ105" s="141">
        <f>VLOOKUP(AA105,'FY 2008 TABLE 15'!$A$11:$M$146,12,FALSE)-AI105</f>
        <v>0</v>
      </c>
      <c r="AR105" s="142">
        <f>VLOOKUP(AA105,'FY 2008 TABLE 15'!$A$11:$M$146,13,FALSE)-AJ105</f>
        <v>0.10640000000057626</v>
      </c>
    </row>
    <row r="106" spans="1:44" s="29" customFormat="1" ht="12" customHeight="1">
      <c r="A106" s="46"/>
      <c r="B106" s="46"/>
      <c r="C106" s="46"/>
      <c r="D106" s="46"/>
      <c r="E106" s="46"/>
      <c r="F106" s="46"/>
      <c r="G106" s="46"/>
      <c r="H106" s="46"/>
      <c r="I106" s="133"/>
      <c r="J106" s="136"/>
      <c r="K106" s="46"/>
      <c r="L106" s="46"/>
      <c r="M106" s="46"/>
      <c r="N106" s="46"/>
      <c r="O106" s="46"/>
      <c r="P106" s="46"/>
      <c r="Q106" s="46"/>
      <c r="R106" s="46"/>
      <c r="S106" s="46"/>
      <c r="T106" s="46"/>
      <c r="U106" s="46"/>
      <c r="V106" s="46"/>
      <c r="W106" s="46"/>
      <c r="X106" s="46"/>
      <c r="Y106" s="46"/>
      <c r="Z106" s="46"/>
      <c r="AA106" s="193">
        <v>112</v>
      </c>
      <c r="AB106" s="194" t="s">
        <v>254</v>
      </c>
      <c r="AC106" s="97">
        <v>110821727.2</v>
      </c>
      <c r="AD106" s="97">
        <v>5180</v>
      </c>
      <c r="AE106" s="97">
        <v>20136930.580000006</v>
      </c>
      <c r="AF106" s="97">
        <v>941.2186</v>
      </c>
      <c r="AG106" s="97">
        <v>68466649.1</v>
      </c>
      <c r="AH106" s="97">
        <v>3200.1939</v>
      </c>
      <c r="AI106" s="97">
        <v>222249530.04</v>
      </c>
      <c r="AJ106" s="97">
        <v>10388.1466</v>
      </c>
      <c r="AK106" s="141">
        <f>VLOOKUP(AA106,'FY 2008 TABLE 15'!$A$11:$M$146,6,FALSE)-AC106</f>
        <v>0</v>
      </c>
      <c r="AL106" s="141">
        <f>VLOOKUP(AA106,'FY 2008 TABLE 15'!$A$11:$M$146,7,FALSE)-AD106</f>
        <v>0</v>
      </c>
      <c r="AM106" s="141">
        <f>VLOOKUP(AA106,'FY 2008 TABLE 15'!$A$11:$M$146,10,FALSE)-AE106</f>
        <v>0</v>
      </c>
      <c r="AN106" s="141">
        <f>VLOOKUP(AA106,'FY 2008 TABLE 15'!$A$11:$M$146,11,FALSE)-AF106</f>
        <v>-0.21860000000003765</v>
      </c>
      <c r="AO106" s="141">
        <f>VLOOKUP(AA106,'FY 2008 TABLE 15'!$A$11:$M$146,4,FALSE)-AG106</f>
        <v>0</v>
      </c>
      <c r="AP106" s="141">
        <f>VLOOKUP(AA106,'FY 2008 TABLE 15'!$A$11:$M$146,5,FALSE)-AH106</f>
        <v>-0.19390000000021246</v>
      </c>
      <c r="AQ106" s="141">
        <f>VLOOKUP(AA106,'FY 2008 TABLE 15'!$A$11:$M$146,12,FALSE)-AI106</f>
        <v>0</v>
      </c>
      <c r="AR106" s="142">
        <f>VLOOKUP(AA106,'FY 2008 TABLE 15'!$A$11:$M$146,13,FALSE)-AJ106</f>
        <v>-0.14660000000003492</v>
      </c>
    </row>
    <row r="107" spans="1:44" s="29" customFormat="1" ht="15.75">
      <c r="A107" s="46"/>
      <c r="B107" s="46"/>
      <c r="C107" s="46"/>
      <c r="D107" s="46"/>
      <c r="E107" s="46"/>
      <c r="F107" s="46"/>
      <c r="G107" s="46"/>
      <c r="H107" s="46"/>
      <c r="I107" s="133"/>
      <c r="J107" s="136"/>
      <c r="K107" s="46"/>
      <c r="L107" s="46"/>
      <c r="M107" s="46"/>
      <c r="N107" s="46"/>
      <c r="O107" s="46"/>
      <c r="P107" s="46"/>
      <c r="Q107" s="46"/>
      <c r="R107" s="46"/>
      <c r="S107" s="46"/>
      <c r="T107" s="46"/>
      <c r="U107" s="46"/>
      <c r="V107" s="46"/>
      <c r="W107" s="46"/>
      <c r="X107" s="46"/>
      <c r="Y107" s="46"/>
      <c r="Z107" s="46"/>
      <c r="AA107" s="193">
        <v>113</v>
      </c>
      <c r="AB107" s="194" t="s">
        <v>255</v>
      </c>
      <c r="AC107" s="97">
        <v>18031685.199999996</v>
      </c>
      <c r="AD107" s="97">
        <v>4134</v>
      </c>
      <c r="AE107" s="97">
        <v>4388008.07</v>
      </c>
      <c r="AF107" s="97">
        <v>1006.0547</v>
      </c>
      <c r="AG107" s="97">
        <v>24829500.720000006</v>
      </c>
      <c r="AH107" s="97">
        <v>5692.7505</v>
      </c>
      <c r="AI107" s="97">
        <v>50874281.27</v>
      </c>
      <c r="AJ107" s="97">
        <v>11664.1326</v>
      </c>
      <c r="AK107" s="141">
        <f>VLOOKUP(AA107,'FY 2008 TABLE 15'!$A$11:$M$146,6,FALSE)-AC107</f>
        <v>0</v>
      </c>
      <c r="AL107" s="141">
        <f>VLOOKUP(AA107,'FY 2008 TABLE 15'!$A$11:$M$146,7,FALSE)-AD107</f>
        <v>0</v>
      </c>
      <c r="AM107" s="141">
        <f>VLOOKUP(AA107,'FY 2008 TABLE 15'!$A$11:$M$146,10,FALSE)-AE107</f>
        <v>0</v>
      </c>
      <c r="AN107" s="141">
        <f>VLOOKUP(AA107,'FY 2008 TABLE 15'!$A$11:$M$146,11,FALSE)-AF107</f>
        <v>-0.054700000000025284</v>
      </c>
      <c r="AO107" s="141">
        <f>VLOOKUP(AA107,'FY 2008 TABLE 15'!$A$11:$M$146,4,FALSE)-AG107</f>
        <v>0</v>
      </c>
      <c r="AP107" s="141">
        <f>VLOOKUP(AA107,'FY 2008 TABLE 15'!$A$11:$M$146,5,FALSE)-AH107</f>
        <v>0.24949999999989814</v>
      </c>
      <c r="AQ107" s="141">
        <f>VLOOKUP(AA107,'FY 2008 TABLE 15'!$A$11:$M$146,12,FALSE)-AI107</f>
        <v>0</v>
      </c>
      <c r="AR107" s="142">
        <f>VLOOKUP(AA107,'FY 2008 TABLE 15'!$A$11:$M$146,13,FALSE)-AJ107</f>
        <v>-0.13260000000082073</v>
      </c>
    </row>
    <row r="108" spans="1:44" s="29" customFormat="1" ht="15.75">
      <c r="A108" s="46"/>
      <c r="B108" s="46"/>
      <c r="C108" s="46"/>
      <c r="D108" s="46"/>
      <c r="E108" s="46"/>
      <c r="F108" s="46"/>
      <c r="G108" s="46"/>
      <c r="H108" s="46"/>
      <c r="I108" s="133"/>
      <c r="J108" s="136"/>
      <c r="K108" s="46"/>
      <c r="L108" s="46"/>
      <c r="M108" s="46"/>
      <c r="N108" s="46"/>
      <c r="O108" s="46"/>
      <c r="P108" s="46"/>
      <c r="Q108" s="46"/>
      <c r="R108" s="46"/>
      <c r="S108" s="46"/>
      <c r="T108" s="46"/>
      <c r="U108" s="46"/>
      <c r="V108" s="46"/>
      <c r="W108" s="46"/>
      <c r="X108" s="46"/>
      <c r="Y108" s="46"/>
      <c r="Z108" s="46"/>
      <c r="AA108" s="193">
        <v>114</v>
      </c>
      <c r="AB108" s="194" t="s">
        <v>256</v>
      </c>
      <c r="AC108" s="97">
        <v>21093773.389999997</v>
      </c>
      <c r="AD108" s="97">
        <v>5439</v>
      </c>
      <c r="AE108" s="97">
        <v>3962921.09</v>
      </c>
      <c r="AF108" s="97">
        <v>1021.8894</v>
      </c>
      <c r="AG108" s="97">
        <v>10880242.75</v>
      </c>
      <c r="AH108" s="97">
        <v>2805.6084</v>
      </c>
      <c r="AI108" s="97">
        <v>39259792.41</v>
      </c>
      <c r="AJ108" s="97">
        <v>10123.6346</v>
      </c>
      <c r="AK108" s="141">
        <f>VLOOKUP(AA108,'FY 2008 TABLE 15'!$A$11:$M$146,6,FALSE)-AC108</f>
        <v>0</v>
      </c>
      <c r="AL108" s="141">
        <f>VLOOKUP(AA108,'FY 2008 TABLE 15'!$A$11:$M$146,7,FALSE)-AD108</f>
        <v>0</v>
      </c>
      <c r="AM108" s="141">
        <f>VLOOKUP(AA108,'FY 2008 TABLE 15'!$A$11:$M$146,10,FALSE)-AE108</f>
        <v>0</v>
      </c>
      <c r="AN108" s="141">
        <f>VLOOKUP(AA108,'FY 2008 TABLE 15'!$A$11:$M$146,11,FALSE)-AF108</f>
        <v>0.11059999999997672</v>
      </c>
      <c r="AO108" s="141">
        <f>VLOOKUP(AA108,'FY 2008 TABLE 15'!$A$11:$M$146,4,FALSE)-AG108</f>
        <v>0</v>
      </c>
      <c r="AP108" s="141">
        <f>VLOOKUP(AA108,'FY 2008 TABLE 15'!$A$11:$M$146,5,FALSE)-AH108</f>
        <v>0.3915999999999258</v>
      </c>
      <c r="AQ108" s="141">
        <f>VLOOKUP(AA108,'FY 2008 TABLE 15'!$A$11:$M$146,12,FALSE)-AI108</f>
        <v>0</v>
      </c>
      <c r="AR108" s="142">
        <f>VLOOKUP(AA108,'FY 2008 TABLE 15'!$A$11:$M$146,13,FALSE)-AJ108</f>
        <v>0.3654000000005908</v>
      </c>
    </row>
    <row r="109" spans="1:44" s="29" customFormat="1" ht="15.75">
      <c r="A109" s="46"/>
      <c r="B109" s="46"/>
      <c r="C109" s="46"/>
      <c r="D109" s="46"/>
      <c r="E109" s="46"/>
      <c r="F109" s="46"/>
      <c r="G109" s="46"/>
      <c r="H109" s="46"/>
      <c r="I109" s="133"/>
      <c r="J109" s="136"/>
      <c r="K109" s="46"/>
      <c r="L109" s="46"/>
      <c r="M109" s="46"/>
      <c r="N109" s="46"/>
      <c r="O109" s="46"/>
      <c r="P109" s="46"/>
      <c r="Q109" s="46"/>
      <c r="R109" s="46"/>
      <c r="S109" s="46"/>
      <c r="T109" s="46"/>
      <c r="U109" s="46"/>
      <c r="V109" s="46"/>
      <c r="W109" s="46"/>
      <c r="X109" s="46"/>
      <c r="Y109" s="46"/>
      <c r="Z109" s="46"/>
      <c r="AA109" s="193">
        <v>115</v>
      </c>
      <c r="AB109" s="194" t="s">
        <v>258</v>
      </c>
      <c r="AC109" s="97">
        <v>37392341.93</v>
      </c>
      <c r="AD109" s="97">
        <v>4489</v>
      </c>
      <c r="AE109" s="97">
        <v>9158524.559999999</v>
      </c>
      <c r="AF109" s="97">
        <v>1099.424</v>
      </c>
      <c r="AG109" s="97">
        <v>35382638.89</v>
      </c>
      <c r="AH109" s="97">
        <v>4247.466</v>
      </c>
      <c r="AI109" s="97">
        <v>90817402.41</v>
      </c>
      <c r="AJ109" s="97">
        <v>10902.065</v>
      </c>
      <c r="AK109" s="141">
        <f>VLOOKUP(AA109,'FY 2008 TABLE 15'!$A$11:$M$146,6,FALSE)-AC109</f>
        <v>0</v>
      </c>
      <c r="AL109" s="141">
        <f>VLOOKUP(AA109,'FY 2008 TABLE 15'!$A$11:$M$146,7,FALSE)-AD109</f>
        <v>0</v>
      </c>
      <c r="AM109" s="141">
        <f>VLOOKUP(AA109,'FY 2008 TABLE 15'!$A$11:$M$146,10,FALSE)-AE109</f>
        <v>0</v>
      </c>
      <c r="AN109" s="141">
        <f>VLOOKUP(AA109,'FY 2008 TABLE 15'!$A$11:$M$146,11,FALSE)-AF109</f>
        <v>-0.42399999999997817</v>
      </c>
      <c r="AO109" s="141">
        <f>VLOOKUP(AA109,'FY 2008 TABLE 15'!$A$11:$M$146,4,FALSE)-AG109</f>
        <v>0</v>
      </c>
      <c r="AP109" s="141">
        <f>VLOOKUP(AA109,'FY 2008 TABLE 15'!$A$11:$M$146,5,FALSE)-AH109</f>
        <v>-0.46600000000034925</v>
      </c>
      <c r="AQ109" s="141">
        <f>VLOOKUP(AA109,'FY 2008 TABLE 15'!$A$11:$M$146,12,FALSE)-AI109</f>
        <v>0</v>
      </c>
      <c r="AR109" s="142">
        <f>VLOOKUP(AA109,'FY 2008 TABLE 15'!$A$11:$M$146,13,FALSE)-AJ109</f>
        <v>-0.06500000000050932</v>
      </c>
    </row>
    <row r="110" spans="1:44" s="29" customFormat="1" ht="15.75">
      <c r="A110" s="46"/>
      <c r="B110" s="46"/>
      <c r="C110" s="46"/>
      <c r="D110" s="46"/>
      <c r="E110" s="46"/>
      <c r="F110" s="46"/>
      <c r="G110" s="46"/>
      <c r="H110" s="46"/>
      <c r="I110" s="133"/>
      <c r="J110" s="136"/>
      <c r="K110" s="46"/>
      <c r="L110" s="46"/>
      <c r="M110" s="46"/>
      <c r="N110" s="46"/>
      <c r="O110" s="46"/>
      <c r="P110" s="46"/>
      <c r="Q110" s="46"/>
      <c r="R110" s="46"/>
      <c r="S110" s="46"/>
      <c r="T110" s="46"/>
      <c r="U110" s="46"/>
      <c r="V110" s="46"/>
      <c r="W110" s="46"/>
      <c r="X110" s="46"/>
      <c r="Y110" s="46"/>
      <c r="Z110" s="46"/>
      <c r="AA110" s="193">
        <v>116</v>
      </c>
      <c r="AB110" s="194" t="s">
        <v>261</v>
      </c>
      <c r="AC110" s="97">
        <v>12486425.27</v>
      </c>
      <c r="AD110" s="97">
        <v>5168</v>
      </c>
      <c r="AE110" s="97">
        <v>2889050.08</v>
      </c>
      <c r="AF110" s="97">
        <v>1195.6854</v>
      </c>
      <c r="AG110" s="97">
        <v>7041420.65</v>
      </c>
      <c r="AH110" s="97">
        <v>2914.2187</v>
      </c>
      <c r="AI110" s="97">
        <v>25012313.32</v>
      </c>
      <c r="AJ110" s="97">
        <v>10351.796</v>
      </c>
      <c r="AK110" s="141">
        <f>VLOOKUP(AA110,'FY 2008 TABLE 15'!$A$11:$M$146,6,FALSE)-AC110</f>
        <v>0</v>
      </c>
      <c r="AL110" s="141">
        <f>VLOOKUP(AA110,'FY 2008 TABLE 15'!$A$11:$M$146,7,FALSE)-AD110</f>
        <v>0</v>
      </c>
      <c r="AM110" s="141">
        <f>VLOOKUP(AA110,'FY 2008 TABLE 15'!$A$11:$M$146,10,FALSE)-AE110</f>
        <v>0</v>
      </c>
      <c r="AN110" s="141">
        <f>VLOOKUP(AA110,'FY 2008 TABLE 15'!$A$11:$M$146,11,FALSE)-AF110</f>
        <v>0.3145999999999276</v>
      </c>
      <c r="AO110" s="141">
        <f>VLOOKUP(AA110,'FY 2008 TABLE 15'!$A$11:$M$146,4,FALSE)-AG110</f>
        <v>0</v>
      </c>
      <c r="AP110" s="141">
        <f>VLOOKUP(AA110,'FY 2008 TABLE 15'!$A$11:$M$146,5,FALSE)-AH110</f>
        <v>-0.21869999999989886</v>
      </c>
      <c r="AQ110" s="141">
        <f>VLOOKUP(AA110,'FY 2008 TABLE 15'!$A$11:$M$146,12,FALSE)-AI110</f>
        <v>0</v>
      </c>
      <c r="AR110" s="142">
        <f>VLOOKUP(AA110,'FY 2008 TABLE 15'!$A$11:$M$146,13,FALSE)-AJ110</f>
        <v>0.2039999999997235</v>
      </c>
    </row>
    <row r="111" spans="1:44" s="29" customFormat="1" ht="15.75">
      <c r="A111" s="46"/>
      <c r="B111" s="46"/>
      <c r="C111" s="46"/>
      <c r="D111" s="46"/>
      <c r="E111" s="46"/>
      <c r="F111" s="46"/>
      <c r="G111" s="46"/>
      <c r="H111" s="46"/>
      <c r="I111" s="133"/>
      <c r="J111" s="136"/>
      <c r="K111" s="46"/>
      <c r="L111" s="46"/>
      <c r="M111" s="46"/>
      <c r="N111" s="46"/>
      <c r="O111" s="46"/>
      <c r="P111" s="46"/>
      <c r="Q111" s="46"/>
      <c r="R111" s="46"/>
      <c r="S111" s="46"/>
      <c r="T111" s="46"/>
      <c r="U111" s="46"/>
      <c r="V111" s="46"/>
      <c r="W111" s="46"/>
      <c r="X111" s="46"/>
      <c r="Y111" s="46"/>
      <c r="Z111" s="46"/>
      <c r="AA111" s="193">
        <v>117</v>
      </c>
      <c r="AB111" s="194" t="s">
        <v>262</v>
      </c>
      <c r="AC111" s="97">
        <v>149613223.76000002</v>
      </c>
      <c r="AD111" s="97">
        <v>5054</v>
      </c>
      <c r="AE111" s="97">
        <v>38258526.08</v>
      </c>
      <c r="AF111" s="97">
        <v>1292.333</v>
      </c>
      <c r="AG111" s="97">
        <v>92421751.01999998</v>
      </c>
      <c r="AH111" s="97">
        <v>3121.9101</v>
      </c>
      <c r="AI111" s="97">
        <v>312767034</v>
      </c>
      <c r="AJ111" s="97">
        <v>10564.9434</v>
      </c>
      <c r="AK111" s="141">
        <f>VLOOKUP(AA111,'FY 2008 TABLE 15'!$A$11:$M$146,6,FALSE)-AC111</f>
        <v>0</v>
      </c>
      <c r="AL111" s="141">
        <f>VLOOKUP(AA111,'FY 2008 TABLE 15'!$A$11:$M$146,7,FALSE)-AD111</f>
        <v>0</v>
      </c>
      <c r="AM111" s="141">
        <f>VLOOKUP(AA111,'FY 2008 TABLE 15'!$A$11:$M$146,10,FALSE)-AE111</f>
        <v>0</v>
      </c>
      <c r="AN111" s="141">
        <f>VLOOKUP(AA111,'FY 2008 TABLE 15'!$A$11:$M$146,11,FALSE)-AF111</f>
        <v>-0.3330000000000837</v>
      </c>
      <c r="AO111" s="141">
        <f>VLOOKUP(AA111,'FY 2008 TABLE 15'!$A$11:$M$146,4,FALSE)-AG111</f>
        <v>0</v>
      </c>
      <c r="AP111" s="141">
        <f>VLOOKUP(AA111,'FY 2008 TABLE 15'!$A$11:$M$146,5,FALSE)-AH111</f>
        <v>0.08989999999994325</v>
      </c>
      <c r="AQ111" s="141">
        <f>VLOOKUP(AA111,'FY 2008 TABLE 15'!$A$11:$M$146,12,FALSE)-AI111</f>
        <v>0</v>
      </c>
      <c r="AR111" s="142">
        <f>VLOOKUP(AA111,'FY 2008 TABLE 15'!$A$11:$M$146,13,FALSE)-AJ111</f>
        <v>0.056599999999889405</v>
      </c>
    </row>
    <row r="112" spans="1:44" s="29" customFormat="1" ht="15.75">
      <c r="A112" s="46"/>
      <c r="B112" s="46"/>
      <c r="C112" s="46"/>
      <c r="D112" s="46"/>
      <c r="E112" s="46"/>
      <c r="F112" s="46"/>
      <c r="G112" s="46"/>
      <c r="H112" s="46"/>
      <c r="I112" s="133"/>
      <c r="J112" s="136"/>
      <c r="K112" s="46"/>
      <c r="L112" s="46"/>
      <c r="M112" s="46"/>
      <c r="N112" s="46"/>
      <c r="O112" s="46"/>
      <c r="P112" s="46"/>
      <c r="Q112" s="46"/>
      <c r="R112" s="46"/>
      <c r="S112" s="46"/>
      <c r="T112" s="46"/>
      <c r="U112" s="46"/>
      <c r="V112" s="46"/>
      <c r="W112" s="46"/>
      <c r="X112" s="46"/>
      <c r="Y112" s="46"/>
      <c r="Z112" s="46"/>
      <c r="AA112" s="193">
        <v>118</v>
      </c>
      <c r="AB112" s="194" t="s">
        <v>263</v>
      </c>
      <c r="AC112" s="97">
        <v>165444136.51999998</v>
      </c>
      <c r="AD112" s="97">
        <v>5120</v>
      </c>
      <c r="AE112" s="97">
        <v>44887456.19</v>
      </c>
      <c r="AF112" s="97">
        <v>1389.1761</v>
      </c>
      <c r="AG112" s="97">
        <v>102415691.01000005</v>
      </c>
      <c r="AH112" s="97">
        <v>3169.5587</v>
      </c>
      <c r="AI112" s="97">
        <v>347779358.55</v>
      </c>
      <c r="AJ112" s="97">
        <v>10763.0684</v>
      </c>
      <c r="AK112" s="141">
        <f>VLOOKUP(AA112,'FY 2008 TABLE 15'!$A$11:$M$146,6,FALSE)-AC112</f>
        <v>0</v>
      </c>
      <c r="AL112" s="141">
        <f>VLOOKUP(AA112,'FY 2008 TABLE 15'!$A$11:$M$146,7,FALSE)-AD112</f>
        <v>0</v>
      </c>
      <c r="AM112" s="141">
        <f>VLOOKUP(AA112,'FY 2008 TABLE 15'!$A$11:$M$146,10,FALSE)-AE112</f>
        <v>0</v>
      </c>
      <c r="AN112" s="141">
        <f>VLOOKUP(AA112,'FY 2008 TABLE 15'!$A$11:$M$146,11,FALSE)-AF112</f>
        <v>-0.17609999999990578</v>
      </c>
      <c r="AO112" s="141">
        <f>VLOOKUP(AA112,'FY 2008 TABLE 15'!$A$11:$M$146,4,FALSE)-AG112</f>
        <v>0</v>
      </c>
      <c r="AP112" s="141">
        <f>VLOOKUP(AA112,'FY 2008 TABLE 15'!$A$11:$M$146,5,FALSE)-AH112</f>
        <v>0.4412999999999556</v>
      </c>
      <c r="AQ112" s="141">
        <f>VLOOKUP(AA112,'FY 2008 TABLE 15'!$A$11:$M$146,12,FALSE)-AI112</f>
        <v>0</v>
      </c>
      <c r="AR112" s="142">
        <f>VLOOKUP(AA112,'FY 2008 TABLE 15'!$A$11:$M$146,13,FALSE)-AJ112</f>
        <v>-0.0684000000001106</v>
      </c>
    </row>
    <row r="113" spans="1:44" s="29" customFormat="1" ht="15.75">
      <c r="A113" s="46"/>
      <c r="B113" s="46"/>
      <c r="C113" s="46"/>
      <c r="D113" s="46"/>
      <c r="E113" s="46"/>
      <c r="F113" s="46"/>
      <c r="G113" s="46"/>
      <c r="H113" s="46"/>
      <c r="I113" s="133"/>
      <c r="J113" s="136"/>
      <c r="K113" s="46"/>
      <c r="L113" s="46"/>
      <c r="M113" s="46"/>
      <c r="N113" s="46"/>
      <c r="O113" s="46"/>
      <c r="P113" s="46"/>
      <c r="Q113" s="46"/>
      <c r="R113" s="46"/>
      <c r="S113" s="46"/>
      <c r="T113" s="46"/>
      <c r="U113" s="46"/>
      <c r="V113" s="46"/>
      <c r="W113" s="46"/>
      <c r="X113" s="46"/>
      <c r="Y113" s="46"/>
      <c r="Z113" s="46"/>
      <c r="AA113" s="193">
        <v>119</v>
      </c>
      <c r="AB113" s="194" t="s">
        <v>264</v>
      </c>
      <c r="AC113" s="97">
        <v>3943750.05</v>
      </c>
      <c r="AD113" s="97">
        <v>5076</v>
      </c>
      <c r="AE113" s="97">
        <v>792859.98</v>
      </c>
      <c r="AF113" s="97">
        <v>1020.4264</v>
      </c>
      <c r="AG113" s="97">
        <v>1757577.53</v>
      </c>
      <c r="AH113" s="97">
        <v>2262.0369</v>
      </c>
      <c r="AI113" s="97">
        <v>7145359.28</v>
      </c>
      <c r="AJ113" s="97">
        <v>9196.2183</v>
      </c>
      <c r="AK113" s="141">
        <f>VLOOKUP(AA113,'FY 2008 TABLE 15'!$A$11:$M$146,6,FALSE)-AC113</f>
        <v>0</v>
      </c>
      <c r="AL113" s="141">
        <f>VLOOKUP(AA113,'FY 2008 TABLE 15'!$A$11:$M$146,7,FALSE)-AD113</f>
        <v>0</v>
      </c>
      <c r="AM113" s="141">
        <f>VLOOKUP(AA113,'FY 2008 TABLE 15'!$A$11:$M$146,10,FALSE)-AE113</f>
        <v>0</v>
      </c>
      <c r="AN113" s="141">
        <f>VLOOKUP(AA113,'FY 2008 TABLE 15'!$A$11:$M$146,11,FALSE)-AF113</f>
        <v>-0.42639999999994416</v>
      </c>
      <c r="AO113" s="141">
        <f>VLOOKUP(AA113,'FY 2008 TABLE 15'!$A$11:$M$146,4,FALSE)-AG113</f>
        <v>0</v>
      </c>
      <c r="AP113" s="141">
        <f>VLOOKUP(AA113,'FY 2008 TABLE 15'!$A$11:$M$146,5,FALSE)-AH113</f>
        <v>-0.03690000000005966</v>
      </c>
      <c r="AQ113" s="141">
        <f>VLOOKUP(AA113,'FY 2008 TABLE 15'!$A$11:$M$146,12,FALSE)-AI113</f>
        <v>0</v>
      </c>
      <c r="AR113" s="142">
        <f>VLOOKUP(AA113,'FY 2008 TABLE 15'!$A$11:$M$146,13,FALSE)-AJ113</f>
        <v>-0.21830000000045402</v>
      </c>
    </row>
    <row r="114" spans="1:44" s="29" customFormat="1" ht="15.75">
      <c r="A114" s="46"/>
      <c r="B114" s="46"/>
      <c r="C114" s="46"/>
      <c r="D114" s="46"/>
      <c r="E114" s="46"/>
      <c r="F114" s="46"/>
      <c r="G114" s="46"/>
      <c r="H114" s="46"/>
      <c r="I114" s="133"/>
      <c r="J114" s="136"/>
      <c r="K114" s="46"/>
      <c r="L114" s="46"/>
      <c r="M114" s="46"/>
      <c r="N114" s="46"/>
      <c r="O114" s="46"/>
      <c r="P114" s="46"/>
      <c r="Q114" s="46"/>
      <c r="R114" s="46"/>
      <c r="S114" s="46"/>
      <c r="T114" s="46"/>
      <c r="U114" s="46"/>
      <c r="V114" s="46"/>
      <c r="W114" s="46"/>
      <c r="X114" s="46"/>
      <c r="Y114" s="46"/>
      <c r="Z114" s="46"/>
      <c r="AA114" s="193">
        <v>120</v>
      </c>
      <c r="AB114" s="194" t="s">
        <v>265</v>
      </c>
      <c r="AC114" s="97">
        <v>28456088.64</v>
      </c>
      <c r="AD114" s="97">
        <v>6186</v>
      </c>
      <c r="AE114" s="97">
        <v>6275297.200000002</v>
      </c>
      <c r="AF114" s="97">
        <v>1364.1904</v>
      </c>
      <c r="AG114" s="97">
        <v>9135570.649999999</v>
      </c>
      <c r="AH114" s="97">
        <v>1985.9869</v>
      </c>
      <c r="AI114" s="97">
        <v>48011426.53</v>
      </c>
      <c r="AJ114" s="97">
        <v>10437.2312</v>
      </c>
      <c r="AK114" s="141">
        <f>VLOOKUP(AA114,'FY 2008 TABLE 15'!$A$11:$M$146,6,FALSE)-AC114</f>
        <v>0</v>
      </c>
      <c r="AL114" s="141">
        <f>VLOOKUP(AA114,'FY 2008 TABLE 15'!$A$11:$M$146,7,FALSE)-AD114</f>
        <v>0</v>
      </c>
      <c r="AM114" s="141">
        <f>VLOOKUP(AA114,'FY 2008 TABLE 15'!$A$11:$M$146,10,FALSE)-AE114</f>
        <v>0</v>
      </c>
      <c r="AN114" s="141">
        <f>VLOOKUP(AA114,'FY 2008 TABLE 15'!$A$11:$M$146,11,FALSE)-AF114</f>
        <v>-0.19039999999995416</v>
      </c>
      <c r="AO114" s="141">
        <f>VLOOKUP(AA114,'FY 2008 TABLE 15'!$A$11:$M$146,4,FALSE)-AG114</f>
        <v>0</v>
      </c>
      <c r="AP114" s="141">
        <f>VLOOKUP(AA114,'FY 2008 TABLE 15'!$A$11:$M$146,5,FALSE)-AH114</f>
        <v>0.013099999999894862</v>
      </c>
      <c r="AQ114" s="141">
        <f>VLOOKUP(AA114,'FY 2008 TABLE 15'!$A$11:$M$146,12,FALSE)-AI114</f>
        <v>0</v>
      </c>
      <c r="AR114" s="142">
        <f>VLOOKUP(AA114,'FY 2008 TABLE 15'!$A$11:$M$146,13,FALSE)-AJ114</f>
        <v>-0.2312000000001717</v>
      </c>
    </row>
    <row r="115" spans="1:44" s="29" customFormat="1" ht="15.75">
      <c r="A115" s="46"/>
      <c r="B115" s="46"/>
      <c r="C115" s="46"/>
      <c r="D115" s="46"/>
      <c r="E115" s="46"/>
      <c r="F115" s="46"/>
      <c r="G115" s="46"/>
      <c r="H115" s="46"/>
      <c r="I115" s="133"/>
      <c r="J115" s="136"/>
      <c r="K115" s="46"/>
      <c r="L115" s="46"/>
      <c r="M115" s="46"/>
      <c r="N115" s="46"/>
      <c r="O115" s="46"/>
      <c r="P115" s="46"/>
      <c r="Q115" s="46"/>
      <c r="R115" s="46"/>
      <c r="S115" s="46"/>
      <c r="T115" s="46"/>
      <c r="U115" s="46"/>
      <c r="V115" s="46"/>
      <c r="W115" s="46"/>
      <c r="X115" s="46"/>
      <c r="Y115" s="46"/>
      <c r="Z115" s="46"/>
      <c r="AA115" s="193">
        <v>121</v>
      </c>
      <c r="AB115" s="194" t="s">
        <v>267</v>
      </c>
      <c r="AC115" s="97">
        <v>83517585.1</v>
      </c>
      <c r="AD115" s="97">
        <v>5826</v>
      </c>
      <c r="AE115" s="97">
        <v>16971677.03</v>
      </c>
      <c r="AF115" s="97">
        <v>1183.9709</v>
      </c>
      <c r="AG115" s="97">
        <v>38290883.46000001</v>
      </c>
      <c r="AH115" s="97">
        <v>2671.2324</v>
      </c>
      <c r="AI115" s="97">
        <v>151113784.81</v>
      </c>
      <c r="AJ115" s="97">
        <v>10541.9358</v>
      </c>
      <c r="AK115" s="141">
        <f>VLOOKUP(AA115,'FY 2008 TABLE 15'!$A$11:$M$146,6,FALSE)-AC115</f>
        <v>0</v>
      </c>
      <c r="AL115" s="141">
        <f>VLOOKUP(AA115,'FY 2008 TABLE 15'!$A$11:$M$146,7,FALSE)-AD115</f>
        <v>0</v>
      </c>
      <c r="AM115" s="141">
        <f>VLOOKUP(AA115,'FY 2008 TABLE 15'!$A$11:$M$146,10,FALSE)-AE115</f>
        <v>0</v>
      </c>
      <c r="AN115" s="141">
        <f>VLOOKUP(AA115,'FY 2008 TABLE 15'!$A$11:$M$146,11,FALSE)-AF115</f>
        <v>0.02909999999997126</v>
      </c>
      <c r="AO115" s="141">
        <f>VLOOKUP(AA115,'FY 2008 TABLE 15'!$A$11:$M$146,4,FALSE)-AG115</f>
        <v>0</v>
      </c>
      <c r="AP115" s="141">
        <f>VLOOKUP(AA115,'FY 2008 TABLE 15'!$A$11:$M$146,5,FALSE)-AH115</f>
        <v>-0.2323999999998705</v>
      </c>
      <c r="AQ115" s="141">
        <f>VLOOKUP(AA115,'FY 2008 TABLE 15'!$A$11:$M$146,12,FALSE)-AI115</f>
        <v>0</v>
      </c>
      <c r="AR115" s="142">
        <f>VLOOKUP(AA115,'FY 2008 TABLE 15'!$A$11:$M$146,13,FALSE)-AJ115</f>
        <v>0.06420000000071013</v>
      </c>
    </row>
    <row r="116" spans="1:44" s="29" customFormat="1" ht="15.75">
      <c r="A116" s="46"/>
      <c r="B116" s="46"/>
      <c r="C116" s="46"/>
      <c r="D116" s="46"/>
      <c r="E116" s="46"/>
      <c r="F116" s="46"/>
      <c r="G116" s="46"/>
      <c r="H116" s="46"/>
      <c r="I116" s="133"/>
      <c r="J116" s="136"/>
      <c r="K116" s="46"/>
      <c r="L116" s="46"/>
      <c r="M116" s="46"/>
      <c r="N116" s="46"/>
      <c r="O116" s="46"/>
      <c r="P116" s="46"/>
      <c r="Q116" s="46"/>
      <c r="R116" s="46"/>
      <c r="S116" s="46"/>
      <c r="T116" s="46"/>
      <c r="U116" s="46"/>
      <c r="V116" s="46"/>
      <c r="W116" s="46"/>
      <c r="X116" s="46"/>
      <c r="Y116" s="46"/>
      <c r="Z116" s="46"/>
      <c r="AA116" s="193">
        <v>122</v>
      </c>
      <c r="AB116" s="194" t="s">
        <v>268</v>
      </c>
      <c r="AC116" s="97">
        <v>7270800.149999999</v>
      </c>
      <c r="AD116" s="97">
        <v>4786</v>
      </c>
      <c r="AE116" s="97">
        <v>937892.97</v>
      </c>
      <c r="AF116" s="97">
        <v>617.3956</v>
      </c>
      <c r="AG116" s="97">
        <v>7496942.170000001</v>
      </c>
      <c r="AH116" s="97">
        <v>4935.0826</v>
      </c>
      <c r="AI116" s="97">
        <v>16889021.95</v>
      </c>
      <c r="AJ116" s="97">
        <v>11117.6953</v>
      </c>
      <c r="AK116" s="141">
        <f>VLOOKUP(AA116,'FY 2008 TABLE 15'!$A$11:$M$146,6,FALSE)-AC116</f>
        <v>0</v>
      </c>
      <c r="AL116" s="141">
        <f>VLOOKUP(AA116,'FY 2008 TABLE 15'!$A$11:$M$146,7,FALSE)-AD116</f>
        <v>0</v>
      </c>
      <c r="AM116" s="141">
        <f>VLOOKUP(AA116,'FY 2008 TABLE 15'!$A$11:$M$146,10,FALSE)-AE116</f>
        <v>0</v>
      </c>
      <c r="AN116" s="141">
        <f>VLOOKUP(AA116,'FY 2008 TABLE 15'!$A$11:$M$146,11,FALSE)-AF116</f>
        <v>-0.3955999999999449</v>
      </c>
      <c r="AO116" s="141">
        <f>VLOOKUP(AA116,'FY 2008 TABLE 15'!$A$11:$M$146,4,FALSE)-AG116</f>
        <v>-2081059.2300000014</v>
      </c>
      <c r="AP116" s="141">
        <f>VLOOKUP(AA116,'FY 2008 TABLE 15'!$A$11:$M$146,5,FALSE)-AH116</f>
        <v>-1370.0825999999997</v>
      </c>
      <c r="AQ116" s="141">
        <f>VLOOKUP(AA116,'FY 2008 TABLE 15'!$A$11:$M$146,12,FALSE)-AI116</f>
        <v>-2081059.2299999986</v>
      </c>
      <c r="AR116" s="142">
        <f>VLOOKUP(AA116,'FY 2008 TABLE 15'!$A$11:$M$146,13,FALSE)-AJ116</f>
        <v>-1369.6952999999994</v>
      </c>
    </row>
    <row r="117" spans="1:44" s="29" customFormat="1" ht="15.75">
      <c r="A117" s="46"/>
      <c r="B117" s="46"/>
      <c r="C117" s="46"/>
      <c r="D117" s="46"/>
      <c r="E117" s="46"/>
      <c r="F117" s="46"/>
      <c r="G117" s="46"/>
      <c r="H117" s="46"/>
      <c r="I117" s="133"/>
      <c r="J117" s="136"/>
      <c r="K117" s="46"/>
      <c r="L117" s="46"/>
      <c r="M117" s="46"/>
      <c r="N117" s="46"/>
      <c r="O117" s="46"/>
      <c r="P117" s="46"/>
      <c r="Q117" s="46"/>
      <c r="R117" s="46"/>
      <c r="S117" s="46"/>
      <c r="T117" s="46"/>
      <c r="U117" s="46"/>
      <c r="V117" s="46"/>
      <c r="W117" s="46"/>
      <c r="X117" s="46"/>
      <c r="Y117" s="46"/>
      <c r="Z117" s="46"/>
      <c r="AA117" s="193">
        <v>123</v>
      </c>
      <c r="AB117" s="194" t="s">
        <v>224</v>
      </c>
      <c r="AC117" s="97">
        <v>97812747.97</v>
      </c>
      <c r="AD117" s="97">
        <v>4383</v>
      </c>
      <c r="AE117" s="97">
        <v>35729030.580000006</v>
      </c>
      <c r="AF117" s="97">
        <v>1600.9183</v>
      </c>
      <c r="AG117" s="97">
        <v>131756180.29999995</v>
      </c>
      <c r="AH117" s="97">
        <v>5903.6272</v>
      </c>
      <c r="AI117" s="97">
        <v>292099670.34</v>
      </c>
      <c r="AJ117" s="97">
        <v>13088.1721</v>
      </c>
      <c r="AK117" s="141">
        <f>VLOOKUP(AA117,'FY 2008 TABLE 15'!$A$11:$M$146,6,FALSE)-AC117</f>
        <v>0</v>
      </c>
      <c r="AL117" s="141">
        <f>VLOOKUP(AA117,'FY 2008 TABLE 15'!$A$11:$M$146,7,FALSE)-AD117</f>
        <v>0</v>
      </c>
      <c r="AM117" s="141">
        <f>VLOOKUP(AA117,'FY 2008 TABLE 15'!$A$11:$M$146,10,FALSE)-AE117</f>
        <v>0</v>
      </c>
      <c r="AN117" s="141">
        <f>VLOOKUP(AA117,'FY 2008 TABLE 15'!$A$11:$M$146,11,FALSE)-AF117</f>
        <v>0.08169999999995525</v>
      </c>
      <c r="AO117" s="141">
        <f>VLOOKUP(AA117,'FY 2008 TABLE 15'!$A$11:$M$146,4,FALSE)-AG117</f>
        <v>0</v>
      </c>
      <c r="AP117" s="141">
        <f>VLOOKUP(AA117,'FY 2008 TABLE 15'!$A$11:$M$146,5,FALSE)-AH117</f>
        <v>0.3728000000000975</v>
      </c>
      <c r="AQ117" s="141">
        <f>VLOOKUP(AA117,'FY 2008 TABLE 15'!$A$11:$M$146,12,FALSE)-AI117</f>
        <v>0</v>
      </c>
      <c r="AR117" s="142">
        <f>VLOOKUP(AA117,'FY 2008 TABLE 15'!$A$11:$M$146,13,FALSE)-AJ117</f>
        <v>-0.172099999999773</v>
      </c>
    </row>
    <row r="118" spans="1:44" s="29" customFormat="1" ht="15.75">
      <c r="A118" s="46"/>
      <c r="B118" s="46"/>
      <c r="C118" s="46"/>
      <c r="D118" s="46"/>
      <c r="E118" s="46"/>
      <c r="F118" s="46"/>
      <c r="G118" s="46"/>
      <c r="H118" s="46"/>
      <c r="I118" s="133"/>
      <c r="J118" s="136"/>
      <c r="K118" s="46"/>
      <c r="L118" s="46"/>
      <c r="M118" s="46"/>
      <c r="N118" s="46"/>
      <c r="O118" s="46"/>
      <c r="P118" s="46"/>
      <c r="Q118" s="46"/>
      <c r="R118" s="46"/>
      <c r="S118" s="46"/>
      <c r="T118" s="46"/>
      <c r="U118" s="46"/>
      <c r="V118" s="46"/>
      <c r="W118" s="46"/>
      <c r="X118" s="46"/>
      <c r="Y118" s="46"/>
      <c r="Z118" s="46"/>
      <c r="AA118" s="193">
        <v>124</v>
      </c>
      <c r="AB118" s="194" t="s">
        <v>225</v>
      </c>
      <c r="AC118" s="97">
        <v>59021203.68</v>
      </c>
      <c r="AD118" s="97">
        <v>4804</v>
      </c>
      <c r="AE118" s="97">
        <v>19366391.130000003</v>
      </c>
      <c r="AF118" s="97">
        <v>1576.3333</v>
      </c>
      <c r="AG118" s="97">
        <v>47611434.58999997</v>
      </c>
      <c r="AH118" s="97">
        <v>3875.3473</v>
      </c>
      <c r="AI118" s="97">
        <v>138178951.95999998</v>
      </c>
      <c r="AJ118" s="97">
        <v>11247.1181</v>
      </c>
      <c r="AK118" s="141">
        <f>VLOOKUP(AA118,'FY 2008 TABLE 15'!$A$11:$M$146,6,FALSE)-AC118</f>
        <v>0</v>
      </c>
      <c r="AL118" s="141">
        <f>VLOOKUP(AA118,'FY 2008 TABLE 15'!$A$11:$M$146,7,FALSE)-AD118</f>
        <v>0</v>
      </c>
      <c r="AM118" s="141">
        <f>VLOOKUP(AA118,'FY 2008 TABLE 15'!$A$11:$M$146,10,FALSE)-AE118</f>
        <v>0</v>
      </c>
      <c r="AN118" s="141">
        <f>VLOOKUP(AA118,'FY 2008 TABLE 15'!$A$11:$M$146,11,FALSE)-AF118</f>
        <v>-0.33330000000000837</v>
      </c>
      <c r="AO118" s="141">
        <f>VLOOKUP(AA118,'FY 2008 TABLE 15'!$A$11:$M$146,4,FALSE)-AG118</f>
        <v>0</v>
      </c>
      <c r="AP118" s="141">
        <f>VLOOKUP(AA118,'FY 2008 TABLE 15'!$A$11:$M$146,5,FALSE)-AH118</f>
        <v>-0.3472999999999047</v>
      </c>
      <c r="AQ118" s="141">
        <f>VLOOKUP(AA118,'FY 2008 TABLE 15'!$A$11:$M$146,12,FALSE)-AI118</f>
        <v>0</v>
      </c>
      <c r="AR118" s="142">
        <f>VLOOKUP(AA118,'FY 2008 TABLE 15'!$A$11:$M$146,13,FALSE)-AJ118</f>
        <v>-0.11809999999968568</v>
      </c>
    </row>
    <row r="119" spans="1:44" s="29" customFormat="1" ht="15.75">
      <c r="A119" s="46"/>
      <c r="B119" s="46"/>
      <c r="C119" s="46"/>
      <c r="D119" s="46"/>
      <c r="E119" s="46"/>
      <c r="F119" s="46"/>
      <c r="G119" s="46"/>
      <c r="H119" s="46"/>
      <c r="I119" s="133"/>
      <c r="J119" s="136"/>
      <c r="K119" s="46"/>
      <c r="L119" s="46"/>
      <c r="M119" s="46"/>
      <c r="N119" s="46"/>
      <c r="O119" s="46"/>
      <c r="P119" s="46"/>
      <c r="Q119" s="46"/>
      <c r="R119" s="46"/>
      <c r="S119" s="46"/>
      <c r="T119" s="46"/>
      <c r="U119" s="46"/>
      <c r="V119" s="46"/>
      <c r="W119" s="46"/>
      <c r="X119" s="46"/>
      <c r="Y119" s="46"/>
      <c r="Z119" s="46"/>
      <c r="AA119" s="193">
        <v>126</v>
      </c>
      <c r="AB119" s="194" t="s">
        <v>270</v>
      </c>
      <c r="AC119" s="97">
        <v>10748540.159999998</v>
      </c>
      <c r="AD119" s="97">
        <v>4069</v>
      </c>
      <c r="AE119" s="97">
        <v>2186027.18</v>
      </c>
      <c r="AF119" s="97">
        <v>827.5643</v>
      </c>
      <c r="AG119" s="97">
        <v>11222882.610000001</v>
      </c>
      <c r="AH119" s="97">
        <v>4248.6466</v>
      </c>
      <c r="AI119" s="97">
        <v>27742370.049999997</v>
      </c>
      <c r="AJ119" s="97">
        <v>10502.4288</v>
      </c>
      <c r="AK119" s="141">
        <f>VLOOKUP(AA119,'FY 2008 TABLE 15'!$A$11:$M$146,6,FALSE)-AC119</f>
        <v>0</v>
      </c>
      <c r="AL119" s="141">
        <f>VLOOKUP(AA119,'FY 2008 TABLE 15'!$A$11:$M$146,7,FALSE)-AD119</f>
        <v>0</v>
      </c>
      <c r="AM119" s="141">
        <f>VLOOKUP(AA119,'FY 2008 TABLE 15'!$A$11:$M$146,10,FALSE)-AE119</f>
        <v>0</v>
      </c>
      <c r="AN119" s="141">
        <f>VLOOKUP(AA119,'FY 2008 TABLE 15'!$A$11:$M$146,11,FALSE)-AF119</f>
        <v>0.4356999999999971</v>
      </c>
      <c r="AO119" s="141">
        <f>VLOOKUP(AA119,'FY 2008 TABLE 15'!$A$11:$M$146,4,FALSE)-AG119</f>
        <v>0</v>
      </c>
      <c r="AP119" s="141">
        <f>VLOOKUP(AA119,'FY 2008 TABLE 15'!$A$11:$M$146,5,FALSE)-AH119</f>
        <v>0.3533999999999651</v>
      </c>
      <c r="AQ119" s="141">
        <f>VLOOKUP(AA119,'FY 2008 TABLE 15'!$A$11:$M$146,12,FALSE)-AI119</f>
        <v>0</v>
      </c>
      <c r="AR119" s="142">
        <f>VLOOKUP(AA119,'FY 2008 TABLE 15'!$A$11:$M$146,13,FALSE)-AJ119</f>
        <v>-0.42879999999968277</v>
      </c>
    </row>
    <row r="120" spans="1:44" s="29" customFormat="1" ht="15.75">
      <c r="A120" s="46"/>
      <c r="B120" s="46"/>
      <c r="C120" s="46"/>
      <c r="D120" s="46"/>
      <c r="E120" s="46"/>
      <c r="F120" s="46"/>
      <c r="G120" s="46"/>
      <c r="H120" s="46"/>
      <c r="I120" s="133"/>
      <c r="J120" s="136"/>
      <c r="K120" s="46"/>
      <c r="L120" s="46"/>
      <c r="M120" s="46"/>
      <c r="N120" s="46"/>
      <c r="O120" s="46"/>
      <c r="P120" s="46"/>
      <c r="Q120" s="46"/>
      <c r="R120" s="46"/>
      <c r="S120" s="46"/>
      <c r="T120" s="46"/>
      <c r="U120" s="46"/>
      <c r="V120" s="46"/>
      <c r="W120" s="46"/>
      <c r="X120" s="46"/>
      <c r="Y120" s="46"/>
      <c r="Z120" s="46"/>
      <c r="AA120" s="193">
        <v>127</v>
      </c>
      <c r="AB120" s="194" t="s">
        <v>271</v>
      </c>
      <c r="AC120" s="97">
        <v>61690821.64</v>
      </c>
      <c r="AD120" s="97">
        <v>4550</v>
      </c>
      <c r="AE120" s="97">
        <v>11128958.49</v>
      </c>
      <c r="AF120" s="97">
        <v>820.8562</v>
      </c>
      <c r="AG120" s="97">
        <v>46195166.58</v>
      </c>
      <c r="AH120" s="97">
        <v>3407.2902</v>
      </c>
      <c r="AI120" s="97">
        <v>133274292.83</v>
      </c>
      <c r="AJ120" s="97">
        <v>9830.1235</v>
      </c>
      <c r="AK120" s="141">
        <f>VLOOKUP(AA120,'FY 2008 TABLE 15'!$A$11:$M$146,6,FALSE)-AC120</f>
        <v>0</v>
      </c>
      <c r="AL120" s="141">
        <f>VLOOKUP(AA120,'FY 2008 TABLE 15'!$A$11:$M$146,7,FALSE)-AD120</f>
        <v>0</v>
      </c>
      <c r="AM120" s="141">
        <f>VLOOKUP(AA120,'FY 2008 TABLE 15'!$A$11:$M$146,10,FALSE)-AE120</f>
        <v>0</v>
      </c>
      <c r="AN120" s="141">
        <f>VLOOKUP(AA120,'FY 2008 TABLE 15'!$A$11:$M$146,11,FALSE)-AF120</f>
        <v>0.14380000000005566</v>
      </c>
      <c r="AO120" s="141">
        <f>VLOOKUP(AA120,'FY 2008 TABLE 15'!$A$11:$M$146,4,FALSE)-AG120</f>
        <v>0</v>
      </c>
      <c r="AP120" s="141">
        <f>VLOOKUP(AA120,'FY 2008 TABLE 15'!$A$11:$M$146,5,FALSE)-AH120</f>
        <v>-0.2901999999999134</v>
      </c>
      <c r="AQ120" s="141">
        <f>VLOOKUP(AA120,'FY 2008 TABLE 15'!$A$11:$M$146,12,FALSE)-AI120</f>
        <v>0</v>
      </c>
      <c r="AR120" s="142">
        <f>VLOOKUP(AA120,'FY 2008 TABLE 15'!$A$11:$M$146,13,FALSE)-AJ120</f>
        <v>-0.12349999999969441</v>
      </c>
    </row>
    <row r="121" spans="1:44" s="29" customFormat="1" ht="15.75">
      <c r="A121" s="46"/>
      <c r="B121" s="46"/>
      <c r="C121" s="46"/>
      <c r="D121" s="46"/>
      <c r="E121" s="46"/>
      <c r="F121" s="46"/>
      <c r="G121" s="46"/>
      <c r="H121" s="46"/>
      <c r="I121" s="133"/>
      <c r="J121" s="136"/>
      <c r="K121" s="46"/>
      <c r="L121" s="46"/>
      <c r="M121" s="46"/>
      <c r="N121" s="46"/>
      <c r="O121" s="46"/>
      <c r="P121" s="46"/>
      <c r="Q121" s="46"/>
      <c r="R121" s="46"/>
      <c r="S121" s="46"/>
      <c r="T121" s="46"/>
      <c r="U121" s="46"/>
      <c r="V121" s="46"/>
      <c r="W121" s="46"/>
      <c r="X121" s="46"/>
      <c r="Y121" s="46"/>
      <c r="Z121" s="46"/>
      <c r="AA121" s="193">
        <v>128</v>
      </c>
      <c r="AB121" s="194" t="s">
        <v>279</v>
      </c>
      <c r="AC121" s="97">
        <v>286230354.37</v>
      </c>
      <c r="AD121" s="97">
        <v>4049</v>
      </c>
      <c r="AE121" s="97">
        <v>61357849.429999985</v>
      </c>
      <c r="AF121" s="97">
        <v>867.9797</v>
      </c>
      <c r="AG121" s="97">
        <v>342709499.86999995</v>
      </c>
      <c r="AH121" s="97">
        <v>4848.0334</v>
      </c>
      <c r="AI121" s="97">
        <v>763202666.17</v>
      </c>
      <c r="AJ121" s="97">
        <v>10796.4092</v>
      </c>
      <c r="AK121" s="141">
        <f>VLOOKUP(AA121,'FY 2008 TABLE 15'!$A$11:$M$146,6,FALSE)-AC121</f>
        <v>0</v>
      </c>
      <c r="AL121" s="141">
        <f>VLOOKUP(AA121,'FY 2008 TABLE 15'!$A$11:$M$146,7,FALSE)-AD121</f>
        <v>0</v>
      </c>
      <c r="AM121" s="141">
        <f>VLOOKUP(AA121,'FY 2008 TABLE 15'!$A$11:$M$146,10,FALSE)-AE121</f>
        <v>0</v>
      </c>
      <c r="AN121" s="141">
        <f>VLOOKUP(AA121,'FY 2008 TABLE 15'!$A$11:$M$146,11,FALSE)-AF121</f>
        <v>0.02030000000002019</v>
      </c>
      <c r="AO121" s="141">
        <f>VLOOKUP(AA121,'FY 2008 TABLE 15'!$A$11:$M$146,4,FALSE)-AG121</f>
        <v>0</v>
      </c>
      <c r="AP121" s="141">
        <f>VLOOKUP(AA121,'FY 2008 TABLE 15'!$A$11:$M$146,5,FALSE)-AH121</f>
        <v>-0.033400000000256114</v>
      </c>
      <c r="AQ121" s="141">
        <f>VLOOKUP(AA121,'FY 2008 TABLE 15'!$A$11:$M$146,12,FALSE)-AI121</f>
        <v>0</v>
      </c>
      <c r="AR121" s="142">
        <f>VLOOKUP(AA121,'FY 2008 TABLE 15'!$A$11:$M$146,13,FALSE)-AJ121</f>
        <v>-0.4092000000000553</v>
      </c>
    </row>
    <row r="122" spans="1:44" ht="15.75">
      <c r="A122" s="46"/>
      <c r="B122" s="46"/>
      <c r="C122" s="46"/>
      <c r="D122" s="46"/>
      <c r="E122" s="46"/>
      <c r="F122" s="46"/>
      <c r="G122" s="46"/>
      <c r="H122" s="46"/>
      <c r="I122" s="132"/>
      <c r="J122" s="67"/>
      <c r="K122" s="45"/>
      <c r="L122" s="45"/>
      <c r="M122" s="45"/>
      <c r="N122" s="45"/>
      <c r="O122" s="45"/>
      <c r="P122" s="45"/>
      <c r="Q122" s="45"/>
      <c r="R122" s="45"/>
      <c r="S122" s="45"/>
      <c r="T122" s="45"/>
      <c r="U122" s="45"/>
      <c r="V122" s="45"/>
      <c r="W122" s="45"/>
      <c r="X122" s="45"/>
      <c r="Y122" s="45"/>
      <c r="Z122" s="45"/>
      <c r="AA122" s="193">
        <v>130</v>
      </c>
      <c r="AB122" s="194" t="s">
        <v>272</v>
      </c>
      <c r="AC122" s="97">
        <v>12949163.99</v>
      </c>
      <c r="AD122" s="97">
        <v>4313</v>
      </c>
      <c r="AE122" s="97">
        <v>2743537.21</v>
      </c>
      <c r="AF122" s="97">
        <v>913.7747</v>
      </c>
      <c r="AG122" s="97">
        <v>11208985.829999998</v>
      </c>
      <c r="AH122" s="97">
        <v>3733.3145</v>
      </c>
      <c r="AI122" s="97">
        <v>30012362.67</v>
      </c>
      <c r="AJ122" s="97">
        <v>9996.0506</v>
      </c>
      <c r="AK122" s="141">
        <f>VLOOKUP(AA122,'FY 2008 TABLE 15'!$A$11:$M$146,6,FALSE)-AC122</f>
        <v>0</v>
      </c>
      <c r="AL122" s="141">
        <f>VLOOKUP(AA122,'FY 2008 TABLE 15'!$A$11:$M$146,7,FALSE)-AD122</f>
        <v>0</v>
      </c>
      <c r="AM122" s="141">
        <f>VLOOKUP(AA122,'FY 2008 TABLE 15'!$A$11:$M$146,10,FALSE)-AE122</f>
        <v>0</v>
      </c>
      <c r="AN122" s="141">
        <f>VLOOKUP(AA122,'FY 2008 TABLE 15'!$A$11:$M$146,11,FALSE)-AF122</f>
        <v>0.22529999999994743</v>
      </c>
      <c r="AO122" s="141">
        <f>VLOOKUP(AA122,'FY 2008 TABLE 15'!$A$11:$M$146,4,FALSE)-AG122</f>
        <v>0</v>
      </c>
      <c r="AP122" s="141">
        <f>VLOOKUP(AA122,'FY 2008 TABLE 15'!$A$11:$M$146,5,FALSE)-AH122</f>
        <v>-0.3144999999999527</v>
      </c>
      <c r="AQ122" s="141">
        <f>VLOOKUP(AA122,'FY 2008 TABLE 15'!$A$11:$M$146,12,FALSE)-AI122</f>
        <v>0</v>
      </c>
      <c r="AR122" s="142">
        <f>VLOOKUP(AA122,'FY 2008 TABLE 15'!$A$11:$M$146,13,FALSE)-AJ122</f>
        <v>-0.050600000000486034</v>
      </c>
    </row>
    <row r="123" spans="1:44" ht="15.75">
      <c r="A123" s="46"/>
      <c r="B123" s="46"/>
      <c r="C123" s="46"/>
      <c r="D123" s="46"/>
      <c r="E123" s="46"/>
      <c r="F123" s="46"/>
      <c r="G123" s="46"/>
      <c r="H123" s="46"/>
      <c r="I123" s="132"/>
      <c r="J123" s="67"/>
      <c r="K123" s="45"/>
      <c r="L123" s="45"/>
      <c r="M123" s="45"/>
      <c r="N123" s="45"/>
      <c r="O123" s="45"/>
      <c r="P123" s="45"/>
      <c r="Q123" s="45"/>
      <c r="R123" s="45"/>
      <c r="S123" s="45"/>
      <c r="T123" s="45"/>
      <c r="U123" s="45"/>
      <c r="V123" s="45"/>
      <c r="W123" s="45"/>
      <c r="X123" s="45"/>
      <c r="Y123" s="45"/>
      <c r="Z123" s="45"/>
      <c r="AA123" s="193">
        <v>131</v>
      </c>
      <c r="AB123" s="194" t="s">
        <v>627</v>
      </c>
      <c r="AC123" s="97">
        <v>28791723.27</v>
      </c>
      <c r="AD123" s="97">
        <v>2847</v>
      </c>
      <c r="AE123" s="97">
        <v>4600776.29</v>
      </c>
      <c r="AF123" s="97">
        <v>455.0033</v>
      </c>
      <c r="AG123" s="97">
        <v>69582568.22</v>
      </c>
      <c r="AH123" s="97">
        <v>6881.5121</v>
      </c>
      <c r="AI123" s="97">
        <v>112326454.08</v>
      </c>
      <c r="AJ123" s="97">
        <v>11108.7571</v>
      </c>
      <c r="AK123" s="141">
        <f>VLOOKUP(AA123,'FY 2008 TABLE 15'!$A$11:$M$146,6,FALSE)-AC123</f>
        <v>0</v>
      </c>
      <c r="AL123" s="141">
        <f>VLOOKUP(AA123,'FY 2008 TABLE 15'!$A$11:$M$146,7,FALSE)-AD123</f>
        <v>0</v>
      </c>
      <c r="AM123" s="141">
        <f>VLOOKUP(AA123,'FY 2008 TABLE 15'!$A$11:$M$146,10,FALSE)-AE123</f>
        <v>0</v>
      </c>
      <c r="AN123" s="141">
        <f>VLOOKUP(AA123,'FY 2008 TABLE 15'!$A$11:$M$146,11,FALSE)-AF123</f>
        <v>-0.0033000000000242835</v>
      </c>
      <c r="AO123" s="141">
        <f>VLOOKUP(AA123,'FY 2008 TABLE 15'!$A$11:$M$146,4,FALSE)-AG123</f>
        <v>0</v>
      </c>
      <c r="AP123" s="141">
        <f>VLOOKUP(AA123,'FY 2008 TABLE 15'!$A$11:$M$146,5,FALSE)-AH123</f>
        <v>0.4879000000000815</v>
      </c>
      <c r="AQ123" s="141">
        <f>VLOOKUP(AA123,'FY 2008 TABLE 15'!$A$11:$M$146,12,FALSE)-AI123</f>
        <v>0</v>
      </c>
      <c r="AR123" s="142">
        <f>VLOOKUP(AA123,'FY 2008 TABLE 15'!$A$11:$M$146,13,FALSE)-AJ123</f>
        <v>0.24289999999928114</v>
      </c>
    </row>
    <row r="124" spans="1:44" ht="15.75">
      <c r="A124" s="46"/>
      <c r="B124" s="46"/>
      <c r="C124" s="46"/>
      <c r="D124" s="46"/>
      <c r="E124" s="46"/>
      <c r="F124" s="46"/>
      <c r="G124" s="46"/>
      <c r="H124" s="46"/>
      <c r="I124" s="132"/>
      <c r="J124" s="67"/>
      <c r="K124" s="45"/>
      <c r="L124" s="45"/>
      <c r="M124" s="45"/>
      <c r="N124" s="45"/>
      <c r="O124" s="45"/>
      <c r="P124" s="45"/>
      <c r="Q124" s="45"/>
      <c r="R124" s="45"/>
      <c r="S124" s="45"/>
      <c r="T124" s="45"/>
      <c r="U124" s="45"/>
      <c r="V124" s="45"/>
      <c r="W124" s="45"/>
      <c r="X124" s="45"/>
      <c r="Y124" s="45"/>
      <c r="Z124" s="45"/>
      <c r="AA124" s="193">
        <v>132</v>
      </c>
      <c r="AB124" s="194" t="s">
        <v>273</v>
      </c>
      <c r="AC124" s="97">
        <v>11744235.08</v>
      </c>
      <c r="AD124" s="97">
        <v>3200</v>
      </c>
      <c r="AE124" s="97">
        <v>2995603.5</v>
      </c>
      <c r="AF124" s="97">
        <v>816.2692</v>
      </c>
      <c r="AG124" s="97">
        <v>27287012.220000006</v>
      </c>
      <c r="AH124" s="97">
        <v>7435.4123</v>
      </c>
      <c r="AI124" s="97">
        <v>45458826.7</v>
      </c>
      <c r="AJ124" s="97">
        <v>12387.0329</v>
      </c>
      <c r="AK124" s="141">
        <f>VLOOKUP(AA124,'FY 2008 TABLE 15'!$A$11:$M$146,6,FALSE)-AC124</f>
        <v>0</v>
      </c>
      <c r="AL124" s="141">
        <f>VLOOKUP(AA124,'FY 2008 TABLE 15'!$A$11:$M$146,7,FALSE)-AD124</f>
        <v>0</v>
      </c>
      <c r="AM124" s="141">
        <f>VLOOKUP(AA124,'FY 2008 TABLE 15'!$A$11:$M$146,10,FALSE)-AE124</f>
        <v>0</v>
      </c>
      <c r="AN124" s="141">
        <f>VLOOKUP(AA124,'FY 2008 TABLE 15'!$A$11:$M$146,11,FALSE)-AF124</f>
        <v>-0.26919999999995525</v>
      </c>
      <c r="AO124" s="141">
        <f>VLOOKUP(AA124,'FY 2008 TABLE 15'!$A$11:$M$146,4,FALSE)-AG124</f>
        <v>0</v>
      </c>
      <c r="AP124" s="141">
        <f>VLOOKUP(AA124,'FY 2008 TABLE 15'!$A$11:$M$146,5,FALSE)-AH124</f>
        <v>-0.41229999999995925</v>
      </c>
      <c r="AQ124" s="141">
        <f>VLOOKUP(AA124,'FY 2008 TABLE 15'!$A$11:$M$146,12,FALSE)-AI124</f>
        <v>0</v>
      </c>
      <c r="AR124" s="142">
        <f>VLOOKUP(AA124,'FY 2008 TABLE 15'!$A$11:$M$146,13,FALSE)-AJ124</f>
        <v>-0.03290000000015425</v>
      </c>
    </row>
    <row r="125" spans="1:44" ht="15.75">
      <c r="A125" s="68"/>
      <c r="B125" s="68"/>
      <c r="C125" s="68"/>
      <c r="D125" s="68"/>
      <c r="E125" s="68"/>
      <c r="F125" s="68"/>
      <c r="G125" s="68"/>
      <c r="H125" s="68"/>
      <c r="I125" s="132"/>
      <c r="J125" s="67"/>
      <c r="K125" s="45"/>
      <c r="L125" s="45"/>
      <c r="M125" s="45"/>
      <c r="N125" s="45"/>
      <c r="O125" s="45"/>
      <c r="P125" s="45"/>
      <c r="Q125" s="45"/>
      <c r="R125" s="45"/>
      <c r="S125" s="45"/>
      <c r="T125" s="45"/>
      <c r="U125" s="45"/>
      <c r="V125" s="45"/>
      <c r="W125" s="45"/>
      <c r="X125" s="45"/>
      <c r="Y125" s="45"/>
      <c r="Z125" s="45"/>
      <c r="AA125" s="193">
        <v>135</v>
      </c>
      <c r="AB125" s="194" t="s">
        <v>183</v>
      </c>
      <c r="AC125" s="97">
        <v>7758988.95</v>
      </c>
      <c r="AD125" s="97">
        <v>6118</v>
      </c>
      <c r="AE125" s="97">
        <v>1707369.94</v>
      </c>
      <c r="AF125" s="97">
        <v>1346.3588</v>
      </c>
      <c r="AG125" s="97">
        <v>4977227.23</v>
      </c>
      <c r="AH125" s="97">
        <v>3924.8281</v>
      </c>
      <c r="AI125" s="97">
        <v>15608250.38</v>
      </c>
      <c r="AJ125" s="97">
        <v>12307.9973</v>
      </c>
      <c r="AK125" s="141">
        <f>VLOOKUP(AA125,'FY 2008 TABLE 15'!$A$11:$M$146,6,FALSE)-AC125</f>
        <v>0</v>
      </c>
      <c r="AL125" s="141">
        <f>VLOOKUP(AA125,'FY 2008 TABLE 15'!$A$11:$M$146,7,FALSE)-AD125</f>
        <v>0</v>
      </c>
      <c r="AM125" s="141">
        <f>VLOOKUP(AA125,'FY 2008 TABLE 15'!$A$11:$M$146,10,FALSE)-AE125</f>
        <v>0</v>
      </c>
      <c r="AN125" s="141">
        <f>VLOOKUP(AA125,'FY 2008 TABLE 15'!$A$11:$M$146,11,FALSE)-AF125</f>
        <v>-0.3587999999999738</v>
      </c>
      <c r="AO125" s="141">
        <f>VLOOKUP(AA125,'FY 2008 TABLE 15'!$A$11:$M$146,4,FALSE)-AG125</f>
        <v>0</v>
      </c>
      <c r="AP125" s="141">
        <f>VLOOKUP(AA125,'FY 2008 TABLE 15'!$A$11:$M$146,5,FALSE)-AH125</f>
        <v>0.1718999999998232</v>
      </c>
      <c r="AQ125" s="141">
        <f>VLOOKUP(AA125,'FY 2008 TABLE 15'!$A$11:$M$146,12,FALSE)-AI125</f>
        <v>0</v>
      </c>
      <c r="AR125" s="142">
        <f>VLOOKUP(AA125,'FY 2008 TABLE 15'!$A$11:$M$146,13,FALSE)-AJ125</f>
        <v>0.002699999999094871</v>
      </c>
    </row>
    <row r="126" spans="1:44" ht="15.75">
      <c r="A126" s="68"/>
      <c r="B126" s="68"/>
      <c r="C126" s="68"/>
      <c r="D126" s="68"/>
      <c r="E126" s="68"/>
      <c r="F126" s="68"/>
      <c r="G126" s="68"/>
      <c r="H126" s="68"/>
      <c r="I126" s="132"/>
      <c r="J126" s="67"/>
      <c r="K126" s="45"/>
      <c r="L126" s="45"/>
      <c r="M126" s="45"/>
      <c r="N126" s="45"/>
      <c r="O126" s="45"/>
      <c r="P126" s="45"/>
      <c r="Q126" s="45"/>
      <c r="R126" s="45"/>
      <c r="S126" s="45"/>
      <c r="T126" s="45"/>
      <c r="U126" s="45"/>
      <c r="V126" s="45"/>
      <c r="W126" s="45"/>
      <c r="X126" s="45"/>
      <c r="Y126" s="45"/>
      <c r="Z126" s="45"/>
      <c r="AA126" s="193">
        <v>136</v>
      </c>
      <c r="AB126" s="194" t="s">
        <v>249</v>
      </c>
      <c r="AC126" s="97">
        <v>174790548.95</v>
      </c>
      <c r="AD126" s="97">
        <v>4458</v>
      </c>
      <c r="AE126" s="97">
        <v>24431275.07999999</v>
      </c>
      <c r="AF126" s="97">
        <v>623.0892</v>
      </c>
      <c r="AG126" s="97">
        <v>179311429.16000006</v>
      </c>
      <c r="AH126" s="97">
        <v>4573.1142</v>
      </c>
      <c r="AI126" s="97">
        <v>419166210.1</v>
      </c>
      <c r="AJ126" s="97">
        <v>10690.311</v>
      </c>
      <c r="AK126" s="141">
        <f>VLOOKUP(AA126,'FY 2008 TABLE 15'!$A$11:$M$146,6,FALSE)-AC126</f>
        <v>0</v>
      </c>
      <c r="AL126" s="141">
        <f>VLOOKUP(AA126,'FY 2008 TABLE 15'!$A$11:$M$146,7,FALSE)-AD126</f>
        <v>0</v>
      </c>
      <c r="AM126" s="141">
        <f>VLOOKUP(AA126,'FY 2008 TABLE 15'!$A$11:$M$146,10,FALSE)-AE126</f>
        <v>0</v>
      </c>
      <c r="AN126" s="141">
        <f>VLOOKUP(AA126,'FY 2008 TABLE 15'!$A$11:$M$146,11,FALSE)-AF126</f>
        <v>-0.08920000000000528</v>
      </c>
      <c r="AO126" s="141">
        <f>VLOOKUP(AA126,'FY 2008 TABLE 15'!$A$11:$M$146,4,FALSE)-AG126</f>
        <v>0</v>
      </c>
      <c r="AP126" s="141">
        <f>VLOOKUP(AA126,'FY 2008 TABLE 15'!$A$11:$M$146,5,FALSE)-AH126</f>
        <v>-0.11419999999998254</v>
      </c>
      <c r="AQ126" s="141">
        <f>VLOOKUP(AA126,'FY 2008 TABLE 15'!$A$11:$M$146,12,FALSE)-AI126</f>
        <v>0</v>
      </c>
      <c r="AR126" s="142">
        <f>VLOOKUP(AA126,'FY 2008 TABLE 15'!$A$11:$M$146,13,FALSE)-AJ126</f>
        <v>-0.3109999999996944</v>
      </c>
    </row>
    <row r="127" spans="1:44" ht="15.75">
      <c r="A127" s="68"/>
      <c r="B127" s="68"/>
      <c r="C127" s="68"/>
      <c r="D127" s="68"/>
      <c r="E127" s="68"/>
      <c r="F127" s="68"/>
      <c r="G127" s="68"/>
      <c r="H127" s="68"/>
      <c r="I127" s="132"/>
      <c r="J127" s="67"/>
      <c r="K127" s="45"/>
      <c r="L127" s="45"/>
      <c r="M127" s="45"/>
      <c r="N127" s="45"/>
      <c r="O127" s="45"/>
      <c r="P127" s="45"/>
      <c r="Q127" s="45"/>
      <c r="R127" s="45"/>
      <c r="S127" s="45"/>
      <c r="T127" s="45"/>
      <c r="U127" s="45"/>
      <c r="V127" s="45"/>
      <c r="W127" s="45"/>
      <c r="X127" s="45"/>
      <c r="Y127" s="45"/>
      <c r="Z127" s="45"/>
      <c r="AA127" s="193">
        <v>137</v>
      </c>
      <c r="AB127" s="194" t="s">
        <v>257</v>
      </c>
      <c r="AC127" s="97">
        <v>2775180.83</v>
      </c>
      <c r="AD127" s="97">
        <v>4540</v>
      </c>
      <c r="AE127" s="97">
        <v>250738.47</v>
      </c>
      <c r="AF127" s="97">
        <v>410.2024</v>
      </c>
      <c r="AG127" s="97">
        <v>2313640.48</v>
      </c>
      <c r="AH127" s="97">
        <v>3785.0625</v>
      </c>
      <c r="AI127" s="97">
        <v>5852972.3</v>
      </c>
      <c r="AJ127" s="97">
        <v>9575.3277</v>
      </c>
      <c r="AK127" s="141">
        <f>VLOOKUP(AA127,'FY 2008 TABLE 15'!$A$11:$M$146,6,FALSE)-AC127</f>
        <v>0</v>
      </c>
      <c r="AL127" s="141">
        <f>VLOOKUP(AA127,'FY 2008 TABLE 15'!$A$11:$M$146,7,FALSE)-AD127</f>
        <v>0</v>
      </c>
      <c r="AM127" s="141">
        <f>VLOOKUP(AA127,'FY 2008 TABLE 15'!$A$11:$M$146,10,FALSE)-AE127</f>
        <v>0</v>
      </c>
      <c r="AN127" s="141">
        <f>VLOOKUP(AA127,'FY 2008 TABLE 15'!$A$11:$M$146,11,FALSE)-AF127</f>
        <v>-0.20240000000001146</v>
      </c>
      <c r="AO127" s="141">
        <f>VLOOKUP(AA127,'FY 2008 TABLE 15'!$A$11:$M$146,4,FALSE)-AG127</f>
        <v>0</v>
      </c>
      <c r="AP127" s="141">
        <f>VLOOKUP(AA127,'FY 2008 TABLE 15'!$A$11:$M$146,5,FALSE)-AH127</f>
        <v>-0.0625</v>
      </c>
      <c r="AQ127" s="141">
        <f>VLOOKUP(AA127,'FY 2008 TABLE 15'!$A$11:$M$146,12,FALSE)-AI127</f>
        <v>0</v>
      </c>
      <c r="AR127" s="142">
        <f>VLOOKUP(AA127,'FY 2008 TABLE 15'!$A$11:$M$146,13,FALSE)-AJ127</f>
        <v>-0.32769999999982247</v>
      </c>
    </row>
    <row r="128" spans="1:44" ht="15.75">
      <c r="A128" s="68"/>
      <c r="B128" s="68"/>
      <c r="C128" s="68"/>
      <c r="D128" s="68"/>
      <c r="E128" s="68"/>
      <c r="F128" s="68"/>
      <c r="G128" s="68"/>
      <c r="H128" s="68"/>
      <c r="I128" s="132"/>
      <c r="J128" s="67"/>
      <c r="K128" s="45"/>
      <c r="L128" s="45"/>
      <c r="M128" s="45"/>
      <c r="N128" s="45"/>
      <c r="O128" s="45"/>
      <c r="P128" s="45"/>
      <c r="Q128" s="45"/>
      <c r="R128" s="45"/>
      <c r="S128" s="45"/>
      <c r="T128" s="45"/>
      <c r="U128" s="45"/>
      <c r="V128" s="45"/>
      <c r="W128" s="45"/>
      <c r="X128" s="45"/>
      <c r="Y128" s="45"/>
      <c r="Z128" s="45"/>
      <c r="AA128" s="193">
        <v>139</v>
      </c>
      <c r="AB128" s="194" t="s">
        <v>269</v>
      </c>
      <c r="AC128" s="97">
        <v>15321090.23</v>
      </c>
      <c r="AD128" s="97">
        <v>3892</v>
      </c>
      <c r="AE128" s="97">
        <v>1623006.62</v>
      </c>
      <c r="AF128" s="97">
        <v>412.3079</v>
      </c>
      <c r="AG128" s="97">
        <v>18914463.199999996</v>
      </c>
      <c r="AH128" s="97">
        <v>4805.0225</v>
      </c>
      <c r="AI128" s="97">
        <v>39124885.65</v>
      </c>
      <c r="AJ128" s="97">
        <v>9939.27</v>
      </c>
      <c r="AK128" s="141">
        <f>VLOOKUP(AA128,'FY 2008 TABLE 15'!$A$11:$M$146,6,FALSE)-AC128</f>
        <v>0</v>
      </c>
      <c r="AL128" s="141">
        <f>VLOOKUP(AA128,'FY 2008 TABLE 15'!$A$11:$M$146,7,FALSE)-AD128</f>
        <v>0</v>
      </c>
      <c r="AM128" s="141">
        <f>VLOOKUP(AA128,'FY 2008 TABLE 15'!$A$11:$M$146,10,FALSE)-AE128</f>
        <v>0</v>
      </c>
      <c r="AN128" s="141">
        <f>VLOOKUP(AA128,'FY 2008 TABLE 15'!$A$11:$M$146,11,FALSE)-AF128</f>
        <v>-0.3079000000000178</v>
      </c>
      <c r="AO128" s="141">
        <f>VLOOKUP(AA128,'FY 2008 TABLE 15'!$A$11:$M$146,4,FALSE)-AG128</f>
        <v>0</v>
      </c>
      <c r="AP128" s="141">
        <f>VLOOKUP(AA128,'FY 2008 TABLE 15'!$A$11:$M$146,5,FALSE)-AH128</f>
        <v>-0.02250000000003638</v>
      </c>
      <c r="AQ128" s="141">
        <f>VLOOKUP(AA128,'FY 2008 TABLE 15'!$A$11:$M$146,12,FALSE)-AI128</f>
        <v>0</v>
      </c>
      <c r="AR128" s="142">
        <f>VLOOKUP(AA128,'FY 2008 TABLE 15'!$A$11:$M$146,13,FALSE)-AJ128</f>
        <v>-0.27000000000043656</v>
      </c>
    </row>
    <row r="129" spans="1:44" ht="15.75">
      <c r="A129" s="68"/>
      <c r="B129" s="68"/>
      <c r="C129" s="68"/>
      <c r="D129" s="68"/>
      <c r="E129" s="68"/>
      <c r="F129" s="68"/>
      <c r="G129" s="68"/>
      <c r="H129" s="68"/>
      <c r="I129" s="132"/>
      <c r="J129" s="67"/>
      <c r="K129" s="45"/>
      <c r="L129" s="45"/>
      <c r="M129" s="45"/>
      <c r="N129" s="45"/>
      <c r="O129" s="45"/>
      <c r="P129" s="45"/>
      <c r="Q129" s="45"/>
      <c r="R129" s="45"/>
      <c r="S129" s="45"/>
      <c r="T129" s="45"/>
      <c r="U129" s="45"/>
      <c r="V129" s="45"/>
      <c r="W129" s="45"/>
      <c r="X129" s="45"/>
      <c r="Y129" s="45"/>
      <c r="Z129" s="45"/>
      <c r="AA129" s="193">
        <v>142</v>
      </c>
      <c r="AB129" s="194" t="s">
        <v>266</v>
      </c>
      <c r="AC129" s="97">
        <v>10251624.129999999</v>
      </c>
      <c r="AD129" s="97">
        <v>4169</v>
      </c>
      <c r="AE129" s="97">
        <v>961217.38</v>
      </c>
      <c r="AF129" s="97">
        <v>390.9392</v>
      </c>
      <c r="AG129" s="97">
        <v>7905739.850000001</v>
      </c>
      <c r="AH129" s="97">
        <v>3215.3642</v>
      </c>
      <c r="AI129" s="97">
        <v>21303829.98</v>
      </c>
      <c r="AJ129" s="97">
        <v>8664.5366</v>
      </c>
      <c r="AK129" s="141">
        <f>VLOOKUP(AA129,'FY 2008 TABLE 15'!$A$11:$M$146,6,FALSE)-AC129</f>
        <v>0</v>
      </c>
      <c r="AL129" s="141">
        <f>VLOOKUP(AA129,'FY 2008 TABLE 15'!$A$11:$M$146,7,FALSE)-AD129</f>
        <v>0</v>
      </c>
      <c r="AM129" s="141">
        <f>VLOOKUP(AA129,'FY 2008 TABLE 15'!$A$11:$M$146,10,FALSE)-AE129</f>
        <v>0</v>
      </c>
      <c r="AN129" s="141">
        <f>VLOOKUP(AA129,'FY 2008 TABLE 15'!$A$11:$M$146,11,FALSE)-AF129</f>
        <v>0.06079999999997199</v>
      </c>
      <c r="AO129" s="141">
        <f>VLOOKUP(AA129,'FY 2008 TABLE 15'!$A$11:$M$146,4,FALSE)-AG129</f>
        <v>0</v>
      </c>
      <c r="AP129" s="141">
        <f>VLOOKUP(AA129,'FY 2008 TABLE 15'!$A$11:$M$146,5,FALSE)-AH129</f>
        <v>-0.36419999999998254</v>
      </c>
      <c r="AQ129" s="141">
        <f>VLOOKUP(AA129,'FY 2008 TABLE 15'!$A$11:$M$146,12,FALSE)-AI129</f>
        <v>0</v>
      </c>
      <c r="AR129" s="142">
        <f>VLOOKUP(AA129,'FY 2008 TABLE 15'!$A$11:$M$146,13,FALSE)-AJ129</f>
        <v>0.46340000000054715</v>
      </c>
    </row>
    <row r="130" spans="1:44" ht="15.75">
      <c r="A130" s="68"/>
      <c r="B130" s="68"/>
      <c r="C130" s="68"/>
      <c r="D130" s="68"/>
      <c r="E130" s="68"/>
      <c r="F130" s="68"/>
      <c r="G130" s="68"/>
      <c r="H130" s="68"/>
      <c r="I130" s="132"/>
      <c r="J130" s="67"/>
      <c r="K130" s="45"/>
      <c r="L130" s="45"/>
      <c r="M130" s="45"/>
      <c r="N130" s="45"/>
      <c r="O130" s="45"/>
      <c r="P130" s="45"/>
      <c r="Q130" s="45"/>
      <c r="R130" s="45"/>
      <c r="S130" s="45"/>
      <c r="T130" s="45"/>
      <c r="U130" s="45"/>
      <c r="V130" s="45"/>
      <c r="W130" s="45"/>
      <c r="X130" s="45"/>
      <c r="Y130" s="45"/>
      <c r="Z130" s="45"/>
      <c r="AA130" s="193">
        <v>143</v>
      </c>
      <c r="AB130" s="194" t="s">
        <v>259</v>
      </c>
      <c r="AC130" s="97">
        <v>20302722.139999997</v>
      </c>
      <c r="AD130" s="97">
        <v>3243</v>
      </c>
      <c r="AE130" s="97">
        <v>3384201.88</v>
      </c>
      <c r="AF130" s="97">
        <v>540.5536</v>
      </c>
      <c r="AG130" s="97">
        <v>49413162.90000001</v>
      </c>
      <c r="AH130" s="97">
        <v>7892.6917</v>
      </c>
      <c r="AI130" s="97">
        <v>79812393.72000001</v>
      </c>
      <c r="AJ130" s="97">
        <v>12748.316</v>
      </c>
      <c r="AK130" s="141">
        <f>VLOOKUP(AA130,'FY 2008 TABLE 15'!$A$11:$M$146,6,FALSE)-AC130</f>
        <v>0</v>
      </c>
      <c r="AL130" s="141">
        <f>VLOOKUP(AA130,'FY 2008 TABLE 15'!$A$11:$M$146,7,FALSE)-AD130</f>
        <v>0</v>
      </c>
      <c r="AM130" s="141">
        <f>VLOOKUP(AA130,'FY 2008 TABLE 15'!$A$11:$M$146,10,FALSE)-AE130</f>
        <v>0</v>
      </c>
      <c r="AN130" s="141">
        <f>VLOOKUP(AA130,'FY 2008 TABLE 15'!$A$11:$M$146,11,FALSE)-AF130</f>
        <v>0.44640000000003965</v>
      </c>
      <c r="AO130" s="141">
        <f>VLOOKUP(AA130,'FY 2008 TABLE 15'!$A$11:$M$146,4,FALSE)-AG130</f>
        <v>0</v>
      </c>
      <c r="AP130" s="141">
        <f>VLOOKUP(AA130,'FY 2008 TABLE 15'!$A$11:$M$146,5,FALSE)-AH130</f>
        <v>0.30829999999969004</v>
      </c>
      <c r="AQ130" s="141">
        <f>VLOOKUP(AA130,'FY 2008 TABLE 15'!$A$11:$M$146,12,FALSE)-AI130</f>
        <v>0</v>
      </c>
      <c r="AR130" s="142">
        <f>VLOOKUP(AA130,'FY 2008 TABLE 15'!$A$11:$M$146,13,FALSE)-AJ130</f>
        <v>-0.31600000000071304</v>
      </c>
    </row>
    <row r="131" spans="1:44" ht="15.75">
      <c r="A131" s="68"/>
      <c r="B131" s="68"/>
      <c r="C131" s="68"/>
      <c r="D131" s="68"/>
      <c r="E131" s="68"/>
      <c r="F131" s="68"/>
      <c r="G131" s="68"/>
      <c r="H131" s="68"/>
      <c r="I131" s="132"/>
      <c r="J131" s="67"/>
      <c r="K131" s="45"/>
      <c r="L131" s="45"/>
      <c r="M131" s="45"/>
      <c r="N131" s="45"/>
      <c r="O131" s="45"/>
      <c r="P131" s="45"/>
      <c r="Q131" s="45"/>
      <c r="R131" s="45"/>
      <c r="S131" s="45"/>
      <c r="T131" s="45"/>
      <c r="U131" s="45"/>
      <c r="V131" s="45"/>
      <c r="W131" s="45"/>
      <c r="X131" s="45"/>
      <c r="Y131" s="45"/>
      <c r="Z131" s="45"/>
      <c r="AA131" s="193">
        <v>144</v>
      </c>
      <c r="AB131" s="194" t="s">
        <v>260</v>
      </c>
      <c r="AC131" s="97">
        <v>11979856.9</v>
      </c>
      <c r="AD131" s="97">
        <v>4963</v>
      </c>
      <c r="AE131" s="97">
        <v>1384015.04</v>
      </c>
      <c r="AF131" s="97">
        <v>573.3663</v>
      </c>
      <c r="AG131" s="97">
        <v>13921943.010000002</v>
      </c>
      <c r="AH131" s="97">
        <v>5767.548</v>
      </c>
      <c r="AI131" s="97">
        <v>29244990.85</v>
      </c>
      <c r="AJ131" s="97">
        <v>12115.5423</v>
      </c>
      <c r="AK131" s="141">
        <f>VLOOKUP(AA131,'FY 2008 TABLE 15'!$A$11:$M$146,6,FALSE)-AC131</f>
        <v>0</v>
      </c>
      <c r="AL131" s="141">
        <f>VLOOKUP(AA131,'FY 2008 TABLE 15'!$A$11:$M$146,7,FALSE)-AD131</f>
        <v>0</v>
      </c>
      <c r="AM131" s="141">
        <f>VLOOKUP(AA131,'FY 2008 TABLE 15'!$A$11:$M$146,10,FALSE)-AE131</f>
        <v>0</v>
      </c>
      <c r="AN131" s="141">
        <f>VLOOKUP(AA131,'FY 2008 TABLE 15'!$A$11:$M$146,11,FALSE)-AF131</f>
        <v>-0.36630000000002383</v>
      </c>
      <c r="AO131" s="141">
        <f>VLOOKUP(AA131,'FY 2008 TABLE 15'!$A$11:$M$146,4,FALSE)-AG131</f>
        <v>0</v>
      </c>
      <c r="AP131" s="141">
        <f>VLOOKUP(AA131,'FY 2008 TABLE 15'!$A$11:$M$146,5,FALSE)-AH131</f>
        <v>0.45200000000022555</v>
      </c>
      <c r="AQ131" s="141">
        <f>VLOOKUP(AA131,'FY 2008 TABLE 15'!$A$11:$M$146,12,FALSE)-AI131</f>
        <v>0</v>
      </c>
      <c r="AR131" s="142">
        <f>VLOOKUP(AA131,'FY 2008 TABLE 15'!$A$11:$M$146,13,FALSE)-AJ131</f>
        <v>0.4577000000008411</v>
      </c>
    </row>
    <row r="132" spans="1:44" ht="15.75">
      <c r="A132" s="68"/>
      <c r="B132" s="68"/>
      <c r="C132" s="68"/>
      <c r="D132" s="68"/>
      <c r="E132" s="68"/>
      <c r="F132" s="68"/>
      <c r="G132" s="68"/>
      <c r="H132" s="68"/>
      <c r="I132" s="132"/>
      <c r="J132" s="67"/>
      <c r="K132" s="45"/>
      <c r="L132" s="45"/>
      <c r="M132" s="45"/>
      <c r="N132" s="45"/>
      <c r="O132" s="45"/>
      <c r="P132" s="45"/>
      <c r="Q132" s="45"/>
      <c r="R132" s="45"/>
      <c r="S132" s="45"/>
      <c r="T132" s="45"/>
      <c r="U132" s="45"/>
      <c r="V132" s="45"/>
      <c r="W132" s="45"/>
      <c r="X132" s="45"/>
      <c r="Y132" s="45"/>
      <c r="Z132" s="45"/>
      <c r="AA132" s="193">
        <v>202</v>
      </c>
      <c r="AB132" s="194" t="s">
        <v>275</v>
      </c>
      <c r="AC132" s="97">
        <v>3169938.82</v>
      </c>
      <c r="AD132" s="97">
        <v>5351</v>
      </c>
      <c r="AE132" s="97">
        <v>898642.23</v>
      </c>
      <c r="AF132" s="97">
        <v>1517.0514</v>
      </c>
      <c r="AG132" s="97">
        <v>2118509.33</v>
      </c>
      <c r="AH132" s="97">
        <v>3576.3815</v>
      </c>
      <c r="AI132" s="97">
        <v>6597969.65</v>
      </c>
      <c r="AJ132" s="97">
        <v>11138.4248</v>
      </c>
      <c r="AK132" s="141">
        <f>VLOOKUP(AA132,'FY 2008 TABLE 15'!$A$11:$M$146,6,FALSE)-AC132</f>
        <v>0</v>
      </c>
      <c r="AL132" s="141">
        <f>VLOOKUP(AA132,'FY 2008 TABLE 15'!$A$11:$M$146,7,FALSE)-AD132</f>
        <v>0</v>
      </c>
      <c r="AM132" s="141">
        <f>VLOOKUP(AA132,'FY 2008 TABLE 15'!$A$11:$M$146,10,FALSE)-AE132</f>
        <v>0</v>
      </c>
      <c r="AN132" s="141">
        <f>VLOOKUP(AA132,'FY 2008 TABLE 15'!$A$11:$M$146,11,FALSE)-AF132</f>
        <v>-0.051400000000057844</v>
      </c>
      <c r="AO132" s="141">
        <f>VLOOKUP(AA132,'FY 2008 TABLE 15'!$A$11:$M$146,4,FALSE)-AG132</f>
        <v>0.35999999986961484</v>
      </c>
      <c r="AP132" s="141">
        <f>VLOOKUP(AA132,'FY 2008 TABLE 15'!$A$11:$M$146,5,FALSE)-AH132</f>
        <v>-0.38149999999996</v>
      </c>
      <c r="AQ132" s="141">
        <f>VLOOKUP(AA132,'FY 2008 TABLE 15'!$A$11:$M$146,12,FALSE)-AI132</f>
        <v>0.35999999940395355</v>
      </c>
      <c r="AR132" s="142">
        <f>VLOOKUP(AA132,'FY 2008 TABLE 15'!$A$11:$M$146,13,FALSE)-AJ132</f>
        <v>-0.42480000000068685</v>
      </c>
    </row>
    <row r="133" spans="1:44" ht="15.75">
      <c r="A133" s="68"/>
      <c r="B133" s="68"/>
      <c r="C133" s="68"/>
      <c r="D133" s="68"/>
      <c r="E133" s="68"/>
      <c r="F133" s="68"/>
      <c r="G133" s="68"/>
      <c r="H133" s="68"/>
      <c r="I133" s="132"/>
      <c r="J133" s="67"/>
      <c r="K133" s="45"/>
      <c r="L133" s="45"/>
      <c r="M133" s="45"/>
      <c r="N133" s="45"/>
      <c r="O133" s="45"/>
      <c r="P133" s="45"/>
      <c r="Q133" s="45"/>
      <c r="R133" s="45"/>
      <c r="S133" s="45"/>
      <c r="T133" s="45"/>
      <c r="U133" s="45"/>
      <c r="V133" s="45"/>
      <c r="W133" s="45"/>
      <c r="X133" s="45"/>
      <c r="Y133" s="45"/>
      <c r="Z133" s="45"/>
      <c r="AA133" s="193">
        <v>207</v>
      </c>
      <c r="AB133" s="194" t="s">
        <v>276</v>
      </c>
      <c r="AC133" s="97">
        <v>4319162.43</v>
      </c>
      <c r="AD133" s="97">
        <v>5364</v>
      </c>
      <c r="AE133" s="97">
        <v>263960.23</v>
      </c>
      <c r="AF133" s="97">
        <v>327.7901</v>
      </c>
      <c r="AG133" s="97">
        <v>3609816.04</v>
      </c>
      <c r="AH133" s="97">
        <v>4482.7277</v>
      </c>
      <c r="AI133" s="97">
        <v>8769064.03</v>
      </c>
      <c r="AJ133" s="97">
        <v>10889.5649</v>
      </c>
      <c r="AK133" s="141">
        <f>VLOOKUP(AA133,'FY 2008 TABLE 15'!$A$11:$M$146,6,FALSE)-AC133</f>
        <v>0</v>
      </c>
      <c r="AL133" s="141">
        <f>VLOOKUP(AA133,'FY 2008 TABLE 15'!$A$11:$M$146,7,FALSE)-AD133</f>
        <v>0</v>
      </c>
      <c r="AM133" s="141">
        <f>VLOOKUP(AA133,'FY 2008 TABLE 15'!$A$11:$M$146,10,FALSE)-AE133</f>
        <v>0</v>
      </c>
      <c r="AN133" s="141">
        <f>VLOOKUP(AA133,'FY 2008 TABLE 15'!$A$11:$M$146,11,FALSE)-AF133</f>
        <v>0.20990000000000464</v>
      </c>
      <c r="AO133" s="141">
        <f>VLOOKUP(AA133,'FY 2008 TABLE 15'!$A$11:$M$146,4,FALSE)-AG133</f>
        <v>0</v>
      </c>
      <c r="AP133" s="141">
        <f>VLOOKUP(AA133,'FY 2008 TABLE 15'!$A$11:$M$146,5,FALSE)-AH133</f>
        <v>0.27229999999963184</v>
      </c>
      <c r="AQ133" s="141">
        <f>VLOOKUP(AA133,'FY 2008 TABLE 15'!$A$11:$M$146,12,FALSE)-AI133</f>
        <v>0</v>
      </c>
      <c r="AR133" s="142">
        <f>VLOOKUP(AA133,'FY 2008 TABLE 15'!$A$11:$M$146,13,FALSE)-AJ133</f>
        <v>0.43510000000060245</v>
      </c>
    </row>
    <row r="134" spans="1:44" ht="15">
      <c r="A134" s="68"/>
      <c r="B134" s="68"/>
      <c r="C134" s="68"/>
      <c r="D134" s="68"/>
      <c r="E134" s="68"/>
      <c r="F134" s="68"/>
      <c r="G134" s="68"/>
      <c r="H134" s="68"/>
      <c r="I134" s="132"/>
      <c r="J134" s="67"/>
      <c r="K134" s="45"/>
      <c r="L134" s="45"/>
      <c r="M134" s="45"/>
      <c r="N134" s="45"/>
      <c r="O134" s="45"/>
      <c r="P134" s="45"/>
      <c r="Q134" s="45"/>
      <c r="R134" s="45"/>
      <c r="S134" s="45"/>
      <c r="T134" s="45"/>
      <c r="U134" s="45"/>
      <c r="V134" s="45"/>
      <c r="W134" s="45"/>
      <c r="X134" s="45"/>
      <c r="Y134" s="45"/>
      <c r="Z134" s="45"/>
      <c r="AA134" s="95"/>
      <c r="AB134" s="96"/>
      <c r="AC134" s="97" t="e">
        <v>#N/A</v>
      </c>
      <c r="AD134" s="97" t="e">
        <v>#N/A</v>
      </c>
      <c r="AE134" s="97" t="e">
        <v>#N/A</v>
      </c>
      <c r="AF134" s="97" t="e">
        <v>#N/A</v>
      </c>
      <c r="AG134" s="97" t="e">
        <v>#N/A</v>
      </c>
      <c r="AH134" s="97" t="e">
        <v>#N/A</v>
      </c>
      <c r="AI134" s="97" t="e">
        <v>#N/A</v>
      </c>
      <c r="AJ134" s="97" t="e">
        <v>#N/A</v>
      </c>
      <c r="AK134" s="141"/>
      <c r="AL134" s="141"/>
      <c r="AM134" s="141"/>
      <c r="AN134" s="141"/>
      <c r="AO134" s="141"/>
      <c r="AP134" s="141"/>
      <c r="AQ134" s="141"/>
      <c r="AR134" s="142"/>
    </row>
    <row r="135" spans="1:44" ht="15">
      <c r="A135" s="68"/>
      <c r="B135" s="68"/>
      <c r="C135" s="68"/>
      <c r="D135" s="68"/>
      <c r="E135" s="68"/>
      <c r="F135" s="68"/>
      <c r="G135" s="68"/>
      <c r="H135" s="68"/>
      <c r="I135" s="132"/>
      <c r="J135" s="67"/>
      <c r="K135" s="45"/>
      <c r="L135" s="45"/>
      <c r="M135" s="45"/>
      <c r="N135" s="45"/>
      <c r="O135" s="45"/>
      <c r="P135" s="45"/>
      <c r="Q135" s="45"/>
      <c r="R135" s="45"/>
      <c r="S135" s="45"/>
      <c r="T135" s="45"/>
      <c r="U135" s="45"/>
      <c r="V135" s="45"/>
      <c r="W135" s="45"/>
      <c r="X135" s="45"/>
      <c r="Y135" s="45"/>
      <c r="Z135" s="45"/>
      <c r="AA135" s="95"/>
      <c r="AB135" s="96"/>
      <c r="AC135" s="97"/>
      <c r="AD135" s="97"/>
      <c r="AE135" s="97"/>
      <c r="AF135" s="97"/>
      <c r="AG135" s="97"/>
      <c r="AH135" s="97"/>
      <c r="AI135" s="97"/>
      <c r="AJ135" s="97"/>
      <c r="AK135" s="141"/>
      <c r="AL135" s="141"/>
      <c r="AM135" s="141"/>
      <c r="AN135" s="141"/>
      <c r="AO135" s="141"/>
      <c r="AP135" s="141"/>
      <c r="AQ135" s="141"/>
      <c r="AR135" s="142"/>
    </row>
    <row r="136" spans="1:44" ht="15.75" thickBot="1">
      <c r="A136" s="68"/>
      <c r="B136" s="68"/>
      <c r="C136" s="68"/>
      <c r="D136" s="68"/>
      <c r="E136" s="68"/>
      <c r="F136" s="68"/>
      <c r="G136" s="68"/>
      <c r="H136" s="68"/>
      <c r="I136" s="132"/>
      <c r="J136" s="67"/>
      <c r="K136" s="45"/>
      <c r="L136" s="45"/>
      <c r="M136" s="45"/>
      <c r="N136" s="45"/>
      <c r="O136" s="45"/>
      <c r="P136" s="45"/>
      <c r="Q136" s="45"/>
      <c r="R136" s="45"/>
      <c r="S136" s="45"/>
      <c r="T136" s="45"/>
      <c r="U136" s="45"/>
      <c r="V136" s="45"/>
      <c r="W136" s="45"/>
      <c r="X136" s="45"/>
      <c r="Y136" s="45"/>
      <c r="Z136" s="45"/>
      <c r="AA136" s="104"/>
      <c r="AB136" s="105"/>
      <c r="AC136" s="106">
        <f>SUM(AC2:AC133)</f>
        <v>4607757096.939999</v>
      </c>
      <c r="AD136" s="106">
        <f>AC136/'Source Data'!$Q$138</f>
        <v>3850.7823857054464</v>
      </c>
      <c r="AE136" s="106">
        <f>SUM(AE2:AE133)</f>
        <v>857585803.0800002</v>
      </c>
      <c r="AF136" s="106">
        <f>AE136/'Source Data'!$Q$138</f>
        <v>716.6993040767329</v>
      </c>
      <c r="AG136" s="106">
        <f>SUM(AG2:AG133)</f>
        <v>6596905614.199998</v>
      </c>
      <c r="AH136" s="106">
        <f>AG136/'Source Data'!$Q$138</f>
        <v>5513.148242166012</v>
      </c>
      <c r="AI136" s="106">
        <f>SUM(AI2:AI133)</f>
        <v>13212940882.169998</v>
      </c>
      <c r="AJ136" s="106">
        <f>AI136/'Source Data'!$Q$138</f>
        <v>11042.283467202951</v>
      </c>
      <c r="AK136" s="143"/>
      <c r="AL136" s="143"/>
      <c r="AM136" s="143"/>
      <c r="AN136" s="143"/>
      <c r="AO136" s="143"/>
      <c r="AP136" s="143"/>
      <c r="AQ136" s="143"/>
      <c r="AR136" s="144"/>
    </row>
    <row r="137" spans="1:44" ht="15">
      <c r="A137" s="68"/>
      <c r="B137" s="68"/>
      <c r="C137" s="68"/>
      <c r="D137" s="68"/>
      <c r="E137" s="68"/>
      <c r="F137" s="68"/>
      <c r="G137" s="68"/>
      <c r="H137" s="68"/>
      <c r="I137" s="132"/>
      <c r="J137" s="67"/>
      <c r="K137" s="45"/>
      <c r="L137" s="45"/>
      <c r="M137" s="45"/>
      <c r="N137" s="45"/>
      <c r="O137" s="45"/>
      <c r="P137" s="45"/>
      <c r="Q137" s="45"/>
      <c r="R137" s="45"/>
      <c r="S137" s="45"/>
      <c r="T137" s="45"/>
      <c r="U137" s="45"/>
      <c r="V137" s="45"/>
      <c r="W137" s="45"/>
      <c r="X137" s="45"/>
      <c r="Y137" s="45"/>
      <c r="Z137" s="45"/>
      <c r="AA137" s="45"/>
      <c r="AB137" s="45"/>
      <c r="AC137" s="76">
        <f>AC136-'FY 2008 TABLE 15'!F146</f>
        <v>277696.9300003052</v>
      </c>
      <c r="AD137" s="76">
        <f>AD136-'FY 2008 TABLE 15'!G146</f>
        <v>-0.21761429455364123</v>
      </c>
      <c r="AE137" s="76">
        <f>AE136-'FY 2008 TABLE 15'!J146</f>
        <v>255003.44999980927</v>
      </c>
      <c r="AF137" s="76">
        <f>AF136-'FY 2008 TABLE 15'!K146</f>
        <v>0.6993040767329148</v>
      </c>
      <c r="AG137" s="76">
        <f>AG136-'FY 2008 TABLE 15'!D146</f>
        <v>5613636.84000206</v>
      </c>
      <c r="AH137" s="76">
        <f>AH136-'FY 2008 TABLE 15'!E146</f>
        <v>5.148242166012096</v>
      </c>
      <c r="AI137" s="76">
        <f>AI136-'FY 2008 TABLE 15'!L146</f>
        <v>6146337.220001221</v>
      </c>
      <c r="AJ137" s="76">
        <f>AJ136-'FY 2008 TABLE 15'!M146</f>
        <v>5.283467202951215</v>
      </c>
      <c r="AK137" s="45"/>
      <c r="AL137" s="45"/>
      <c r="AM137" s="45"/>
      <c r="AN137" s="45"/>
      <c r="AO137" s="45"/>
      <c r="AP137" s="45"/>
      <c r="AQ137" s="45"/>
      <c r="AR137" s="45"/>
    </row>
    <row r="138" spans="1:44" ht="15">
      <c r="A138" s="68"/>
      <c r="B138" s="68"/>
      <c r="C138" s="68"/>
      <c r="D138" s="68"/>
      <c r="E138" s="68"/>
      <c r="F138" s="68"/>
      <c r="G138" s="68"/>
      <c r="H138" s="68"/>
      <c r="I138" s="132"/>
      <c r="J138" s="67"/>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76"/>
      <c r="AL138" s="76"/>
      <c r="AM138" s="45"/>
      <c r="AN138" s="45"/>
      <c r="AO138" s="76"/>
      <c r="AP138" s="76"/>
      <c r="AQ138" s="76"/>
      <c r="AR138" s="76"/>
    </row>
    <row r="139" spans="1:44" ht="15">
      <c r="A139" s="68"/>
      <c r="B139" s="68"/>
      <c r="C139" s="68"/>
      <c r="D139" s="68"/>
      <c r="E139" s="68"/>
      <c r="F139" s="68"/>
      <c r="G139" s="68"/>
      <c r="H139" s="68"/>
      <c r="I139" s="132"/>
      <c r="J139" s="67"/>
      <c r="K139" s="45"/>
      <c r="L139" s="45"/>
      <c r="M139" s="45"/>
      <c r="N139" s="45"/>
      <c r="O139" s="45"/>
      <c r="P139" s="45"/>
      <c r="Q139" s="45"/>
      <c r="R139" s="45"/>
      <c r="S139" s="45"/>
      <c r="T139" s="45"/>
      <c r="U139" s="45"/>
      <c r="V139" s="45"/>
      <c r="W139" s="45"/>
      <c r="X139" s="45"/>
      <c r="Y139" s="45"/>
      <c r="Z139" s="45"/>
      <c r="AA139" s="107"/>
      <c r="AB139" s="107"/>
      <c r="AC139" s="107"/>
      <c r="AD139" s="107"/>
      <c r="AE139" s="107"/>
      <c r="AF139" s="107"/>
      <c r="AG139" s="107"/>
      <c r="AH139" s="107"/>
      <c r="AI139" s="107"/>
      <c r="AJ139" s="107"/>
      <c r="AK139" s="107"/>
      <c r="AL139" s="107"/>
      <c r="AM139" s="107"/>
      <c r="AN139" s="107"/>
      <c r="AO139" s="107"/>
      <c r="AP139" s="107"/>
      <c r="AQ139" s="107"/>
      <c r="AR139" s="107"/>
    </row>
    <row r="140" spans="1:44" ht="15.75">
      <c r="A140" s="68"/>
      <c r="B140" s="68"/>
      <c r="C140" s="68"/>
      <c r="D140" s="68"/>
      <c r="E140" s="68"/>
      <c r="F140" s="68"/>
      <c r="G140" s="68"/>
      <c r="H140" s="68"/>
      <c r="I140" s="132"/>
      <c r="J140" s="67"/>
      <c r="K140" s="45"/>
      <c r="L140" s="45"/>
      <c r="M140" s="45"/>
      <c r="N140" s="45"/>
      <c r="O140" s="45"/>
      <c r="P140" s="45"/>
      <c r="Q140" s="45"/>
      <c r="R140" s="45"/>
      <c r="S140" s="45"/>
      <c r="T140" s="45"/>
      <c r="U140" s="45"/>
      <c r="V140" s="45"/>
      <c r="W140" s="45"/>
      <c r="X140" s="45"/>
      <c r="Y140" s="45"/>
      <c r="Z140" s="45"/>
      <c r="AA140" s="107"/>
      <c r="AB140" s="107"/>
      <c r="AC140" s="107"/>
      <c r="AD140" s="107"/>
      <c r="AE140" s="107"/>
      <c r="AF140" s="107"/>
      <c r="AG140" s="107"/>
      <c r="AH140" s="107"/>
      <c r="AI140" s="107"/>
      <c r="AJ140" s="107"/>
      <c r="AK140" s="107"/>
      <c r="AL140" s="107"/>
      <c r="AM140" s="107"/>
      <c r="AN140" s="107"/>
      <c r="AO140" s="107"/>
      <c r="AP140" s="107"/>
      <c r="AQ140" s="107"/>
      <c r="AR140" s="108"/>
    </row>
    <row r="141" spans="1:44" ht="15">
      <c r="A141" s="68"/>
      <c r="B141" s="68"/>
      <c r="C141" s="68"/>
      <c r="D141" s="68"/>
      <c r="E141" s="68"/>
      <c r="F141" s="68"/>
      <c r="G141" s="68"/>
      <c r="H141" s="68"/>
      <c r="I141" s="132"/>
      <c r="J141" s="67"/>
      <c r="K141" s="45"/>
      <c r="L141" s="45"/>
      <c r="M141" s="45"/>
      <c r="N141" s="45"/>
      <c r="O141" s="45"/>
      <c r="P141" s="45"/>
      <c r="Q141" s="45"/>
      <c r="R141" s="45"/>
      <c r="S141" s="45"/>
      <c r="T141" s="45"/>
      <c r="U141" s="45"/>
      <c r="V141" s="45"/>
      <c r="W141" s="45"/>
      <c r="X141" s="45"/>
      <c r="Y141" s="45"/>
      <c r="Z141" s="45"/>
      <c r="AA141" s="107"/>
      <c r="AB141" s="107"/>
      <c r="AC141" s="107"/>
      <c r="AD141" s="107"/>
      <c r="AE141" s="107"/>
      <c r="AF141" s="107"/>
      <c r="AG141" s="107"/>
      <c r="AH141" s="107"/>
      <c r="AI141" s="107"/>
      <c r="AJ141" s="107"/>
      <c r="AK141" s="107"/>
      <c r="AL141" s="107"/>
      <c r="AM141" s="107"/>
      <c r="AN141" s="107"/>
      <c r="AO141" s="107"/>
      <c r="AP141" s="107"/>
      <c r="AQ141" s="107"/>
      <c r="AR141" s="107"/>
    </row>
    <row r="142" spans="1:44" ht="15">
      <c r="A142" s="68"/>
      <c r="B142" s="68"/>
      <c r="C142" s="68"/>
      <c r="D142" s="68"/>
      <c r="E142" s="68"/>
      <c r="F142" s="68"/>
      <c r="G142" s="68"/>
      <c r="H142" s="68"/>
      <c r="I142" s="132"/>
      <c r="J142" s="67"/>
      <c r="K142" s="45"/>
      <c r="L142" s="45"/>
      <c r="M142" s="45"/>
      <c r="N142" s="45"/>
      <c r="O142" s="45"/>
      <c r="P142" s="45"/>
      <c r="Q142" s="45"/>
      <c r="R142" s="45"/>
      <c r="S142" s="45"/>
      <c r="T142" s="45"/>
      <c r="U142" s="45"/>
      <c r="V142" s="45"/>
      <c r="W142" s="45"/>
      <c r="X142" s="45"/>
      <c r="Y142" s="45"/>
      <c r="Z142" s="45"/>
      <c r="AA142" s="107"/>
      <c r="AB142" s="107"/>
      <c r="AC142" s="107"/>
      <c r="AD142" s="107"/>
      <c r="AE142" s="107"/>
      <c r="AF142" s="107"/>
      <c r="AG142" s="107"/>
      <c r="AH142" s="107"/>
      <c r="AI142" s="107"/>
      <c r="AJ142" s="107"/>
      <c r="AK142" s="107"/>
      <c r="AL142" s="107"/>
      <c r="AM142" s="107"/>
      <c r="AN142" s="107"/>
      <c r="AO142" s="107"/>
      <c r="AP142" s="107"/>
      <c r="AQ142" s="107"/>
      <c r="AR142" s="107"/>
    </row>
    <row r="143" spans="1:44" ht="15">
      <c r="A143" s="68"/>
      <c r="B143" s="68"/>
      <c r="C143" s="68"/>
      <c r="D143" s="68"/>
      <c r="E143" s="68"/>
      <c r="F143" s="68"/>
      <c r="G143" s="68"/>
      <c r="H143" s="68"/>
      <c r="I143" s="132"/>
      <c r="J143" s="67"/>
      <c r="K143" s="45"/>
      <c r="L143" s="45"/>
      <c r="M143" s="45"/>
      <c r="N143" s="45"/>
      <c r="O143" s="45"/>
      <c r="P143" s="45"/>
      <c r="Q143" s="45"/>
      <c r="R143" s="45"/>
      <c r="S143" s="45"/>
      <c r="T143" s="45"/>
      <c r="U143" s="45"/>
      <c r="V143" s="45"/>
      <c r="W143" s="45"/>
      <c r="X143" s="45"/>
      <c r="Y143" s="45"/>
      <c r="Z143" s="45"/>
      <c r="AA143" s="107"/>
      <c r="AB143" s="107"/>
      <c r="AC143" s="107"/>
      <c r="AD143" s="107"/>
      <c r="AE143" s="107"/>
      <c r="AF143" s="107"/>
      <c r="AG143" s="107"/>
      <c r="AH143" s="107"/>
      <c r="AI143" s="107"/>
      <c r="AJ143" s="107"/>
      <c r="AK143" s="107"/>
      <c r="AL143" s="107"/>
      <c r="AM143" s="107"/>
      <c r="AN143" s="107"/>
      <c r="AO143" s="107"/>
      <c r="AP143" s="107"/>
      <c r="AQ143" s="107"/>
      <c r="AR143" s="107"/>
    </row>
    <row r="144" spans="1:44" ht="15">
      <c r="A144" s="68"/>
      <c r="B144" s="68"/>
      <c r="C144" s="68"/>
      <c r="D144" s="68"/>
      <c r="E144" s="68"/>
      <c r="F144" s="68"/>
      <c r="G144" s="68"/>
      <c r="H144" s="68"/>
      <c r="I144" s="132"/>
      <c r="J144" s="67"/>
      <c r="K144" s="45"/>
      <c r="L144" s="45"/>
      <c r="M144" s="45"/>
      <c r="N144" s="45"/>
      <c r="O144" s="45"/>
      <c r="P144" s="45"/>
      <c r="Q144" s="45"/>
      <c r="R144" s="45"/>
      <c r="S144" s="45"/>
      <c r="T144" s="45"/>
      <c r="U144" s="45"/>
      <c r="V144" s="45"/>
      <c r="W144" s="45"/>
      <c r="X144" s="45"/>
      <c r="Y144" s="45"/>
      <c r="Z144" s="45"/>
      <c r="AA144" s="107"/>
      <c r="AB144" s="107"/>
      <c r="AC144" s="107"/>
      <c r="AD144" s="107"/>
      <c r="AE144" s="107"/>
      <c r="AF144" s="107"/>
      <c r="AG144" s="107"/>
      <c r="AH144" s="107"/>
      <c r="AI144" s="107"/>
      <c r="AJ144" s="107"/>
      <c r="AK144" s="107"/>
      <c r="AL144" s="107"/>
      <c r="AM144" s="107"/>
      <c r="AN144" s="107"/>
      <c r="AO144" s="107"/>
      <c r="AP144" s="107"/>
      <c r="AQ144" s="107"/>
      <c r="AR144" s="107"/>
    </row>
    <row r="145" spans="1:44" ht="15">
      <c r="A145" s="68"/>
      <c r="B145" s="68"/>
      <c r="C145" s="68"/>
      <c r="D145" s="68"/>
      <c r="E145" s="68"/>
      <c r="F145" s="68"/>
      <c r="G145" s="68"/>
      <c r="H145" s="68"/>
      <c r="I145" s="132"/>
      <c r="J145" s="67"/>
      <c r="K145" s="45"/>
      <c r="L145" s="45"/>
      <c r="M145" s="45"/>
      <c r="N145" s="45"/>
      <c r="O145" s="45"/>
      <c r="P145" s="45"/>
      <c r="Q145" s="45"/>
      <c r="R145" s="45"/>
      <c r="S145" s="45"/>
      <c r="T145" s="45"/>
      <c r="U145" s="45"/>
      <c r="V145" s="45"/>
      <c r="W145" s="45"/>
      <c r="X145" s="45"/>
      <c r="Y145" s="45"/>
      <c r="Z145" s="45"/>
      <c r="AA145" s="107"/>
      <c r="AB145" s="107"/>
      <c r="AC145" s="107"/>
      <c r="AD145" s="107"/>
      <c r="AE145" s="107"/>
      <c r="AF145" s="107"/>
      <c r="AG145" s="107"/>
      <c r="AH145" s="107"/>
      <c r="AI145" s="107"/>
      <c r="AJ145" s="107"/>
      <c r="AK145" s="107"/>
      <c r="AL145" s="107"/>
      <c r="AM145" s="107"/>
      <c r="AN145" s="107"/>
      <c r="AO145" s="107"/>
      <c r="AP145" s="107"/>
      <c r="AQ145" s="107"/>
      <c r="AR145" s="107"/>
    </row>
    <row r="146" spans="1:44" ht="15">
      <c r="A146" s="68"/>
      <c r="B146" s="68"/>
      <c r="C146" s="68"/>
      <c r="D146" s="68"/>
      <c r="E146" s="68"/>
      <c r="F146" s="68"/>
      <c r="G146" s="68"/>
      <c r="H146" s="68"/>
      <c r="I146" s="132"/>
      <c r="J146" s="67"/>
      <c r="K146" s="45"/>
      <c r="L146" s="45"/>
      <c r="M146" s="45"/>
      <c r="N146" s="45"/>
      <c r="O146" s="45"/>
      <c r="P146" s="45"/>
      <c r="Q146" s="45"/>
      <c r="R146" s="45"/>
      <c r="S146" s="45"/>
      <c r="T146" s="45"/>
      <c r="U146" s="45"/>
      <c r="V146" s="45"/>
      <c r="W146" s="45"/>
      <c r="X146" s="45"/>
      <c r="Y146" s="45"/>
      <c r="Z146" s="45"/>
      <c r="AA146" s="107"/>
      <c r="AB146" s="107"/>
      <c r="AC146" s="107"/>
      <c r="AD146" s="107"/>
      <c r="AE146" s="107"/>
      <c r="AF146" s="107"/>
      <c r="AG146" s="107"/>
      <c r="AH146" s="107"/>
      <c r="AI146" s="107"/>
      <c r="AJ146" s="107"/>
      <c r="AK146" s="107"/>
      <c r="AL146" s="107"/>
      <c r="AM146" s="107"/>
      <c r="AN146" s="107"/>
      <c r="AO146" s="107"/>
      <c r="AP146" s="107"/>
      <c r="AQ146" s="107"/>
      <c r="AR146" s="107"/>
    </row>
    <row r="147" spans="1:44" ht="15">
      <c r="A147" s="68"/>
      <c r="B147" s="68"/>
      <c r="C147" s="68"/>
      <c r="D147" s="68"/>
      <c r="E147" s="68"/>
      <c r="F147" s="68"/>
      <c r="G147" s="68"/>
      <c r="H147" s="68"/>
      <c r="I147" s="132"/>
      <c r="J147" s="67"/>
      <c r="K147" s="45"/>
      <c r="L147" s="45"/>
      <c r="M147" s="45"/>
      <c r="N147" s="45"/>
      <c r="O147" s="45"/>
      <c r="P147" s="45"/>
      <c r="Q147" s="45"/>
      <c r="R147" s="45"/>
      <c r="S147" s="45"/>
      <c r="T147" s="45"/>
      <c r="U147" s="45"/>
      <c r="V147" s="45"/>
      <c r="W147" s="45"/>
      <c r="X147" s="45"/>
      <c r="Y147" s="45"/>
      <c r="Z147" s="45"/>
      <c r="AA147" s="107"/>
      <c r="AB147" s="107"/>
      <c r="AC147" s="107"/>
      <c r="AD147" s="107"/>
      <c r="AE147" s="107"/>
      <c r="AF147" s="107"/>
      <c r="AG147" s="107"/>
      <c r="AH147" s="107"/>
      <c r="AI147" s="107"/>
      <c r="AJ147" s="107"/>
      <c r="AK147" s="107"/>
      <c r="AL147" s="107"/>
      <c r="AM147" s="107"/>
      <c r="AN147" s="107"/>
      <c r="AO147" s="107"/>
      <c r="AP147" s="107"/>
      <c r="AQ147" s="107"/>
      <c r="AR147" s="107"/>
    </row>
    <row r="148" spans="1:44" ht="15">
      <c r="A148" s="68"/>
      <c r="B148" s="68"/>
      <c r="C148" s="68"/>
      <c r="D148" s="68"/>
      <c r="E148" s="68"/>
      <c r="F148" s="68"/>
      <c r="G148" s="68"/>
      <c r="H148" s="68"/>
      <c r="I148" s="132"/>
      <c r="J148" s="67"/>
      <c r="K148" s="45"/>
      <c r="L148" s="45"/>
      <c r="M148" s="45"/>
      <c r="N148" s="45"/>
      <c r="O148" s="45"/>
      <c r="P148" s="45"/>
      <c r="Q148" s="45"/>
      <c r="R148" s="45"/>
      <c r="S148" s="45"/>
      <c r="T148" s="45"/>
      <c r="U148" s="45"/>
      <c r="V148" s="45"/>
      <c r="W148" s="45"/>
      <c r="X148" s="45"/>
      <c r="Y148" s="45"/>
      <c r="Z148" s="45"/>
      <c r="AA148" s="107"/>
      <c r="AB148" s="107"/>
      <c r="AC148" s="107"/>
      <c r="AD148" s="107"/>
      <c r="AE148" s="107"/>
      <c r="AF148" s="107"/>
      <c r="AG148" s="107"/>
      <c r="AH148" s="107"/>
      <c r="AI148" s="107"/>
      <c r="AJ148" s="107"/>
      <c r="AK148" s="107"/>
      <c r="AL148" s="107"/>
      <c r="AM148" s="107"/>
      <c r="AN148" s="107"/>
      <c r="AO148" s="107"/>
      <c r="AP148" s="107"/>
      <c r="AQ148" s="107"/>
      <c r="AR148" s="107"/>
    </row>
    <row r="149" spans="1:44" ht="15">
      <c r="A149" s="68"/>
      <c r="B149" s="68"/>
      <c r="C149" s="68"/>
      <c r="D149" s="68"/>
      <c r="E149" s="68"/>
      <c r="F149" s="68"/>
      <c r="G149" s="68"/>
      <c r="H149" s="68"/>
      <c r="I149" s="132"/>
      <c r="J149" s="67"/>
      <c r="K149" s="45"/>
      <c r="L149" s="45"/>
      <c r="M149" s="45"/>
      <c r="N149" s="45"/>
      <c r="O149" s="45"/>
      <c r="P149" s="45"/>
      <c r="Q149" s="45"/>
      <c r="R149" s="45"/>
      <c r="S149" s="45"/>
      <c r="T149" s="45"/>
      <c r="U149" s="45"/>
      <c r="V149" s="45"/>
      <c r="W149" s="45"/>
      <c r="X149" s="45"/>
      <c r="Y149" s="45"/>
      <c r="Z149" s="45"/>
      <c r="AA149" s="107"/>
      <c r="AB149" s="107"/>
      <c r="AC149" s="107"/>
      <c r="AD149" s="107"/>
      <c r="AE149" s="107"/>
      <c r="AF149" s="107"/>
      <c r="AG149" s="107"/>
      <c r="AH149" s="107"/>
      <c r="AI149" s="107"/>
      <c r="AJ149" s="107"/>
      <c r="AK149" s="107"/>
      <c r="AL149" s="107"/>
      <c r="AM149" s="107"/>
      <c r="AN149" s="107"/>
      <c r="AO149" s="107"/>
      <c r="AP149" s="107"/>
      <c r="AQ149" s="107"/>
      <c r="AR149" s="107"/>
    </row>
    <row r="150" spans="1:44" ht="15">
      <c r="A150" s="68"/>
      <c r="B150" s="68"/>
      <c r="C150" s="68"/>
      <c r="D150" s="68"/>
      <c r="E150" s="68"/>
      <c r="F150" s="68"/>
      <c r="G150" s="68"/>
      <c r="H150" s="68"/>
      <c r="I150" s="132"/>
      <c r="J150" s="67"/>
      <c r="K150" s="45"/>
      <c r="L150" s="45"/>
      <c r="M150" s="45"/>
      <c r="N150" s="45"/>
      <c r="O150" s="45"/>
      <c r="P150" s="45"/>
      <c r="Q150" s="45"/>
      <c r="R150" s="45"/>
      <c r="S150" s="45"/>
      <c r="T150" s="45"/>
      <c r="U150" s="45"/>
      <c r="V150" s="45"/>
      <c r="W150" s="45"/>
      <c r="X150" s="45"/>
      <c r="Y150" s="45"/>
      <c r="Z150" s="45"/>
      <c r="AA150" s="107"/>
      <c r="AB150" s="107"/>
      <c r="AC150" s="107"/>
      <c r="AD150" s="107"/>
      <c r="AE150" s="107"/>
      <c r="AF150" s="107"/>
      <c r="AG150" s="107"/>
      <c r="AH150" s="107"/>
      <c r="AI150" s="107"/>
      <c r="AJ150" s="107"/>
      <c r="AK150" s="107"/>
      <c r="AL150" s="107"/>
      <c r="AM150" s="107"/>
      <c r="AN150" s="107"/>
      <c r="AO150" s="107"/>
      <c r="AP150" s="107"/>
      <c r="AQ150" s="107"/>
      <c r="AR150" s="107"/>
    </row>
    <row r="151" spans="1:44" ht="15">
      <c r="A151" s="68"/>
      <c r="B151" s="68"/>
      <c r="C151" s="68"/>
      <c r="D151" s="68"/>
      <c r="E151" s="68"/>
      <c r="F151" s="68"/>
      <c r="G151" s="68"/>
      <c r="H151" s="68"/>
      <c r="I151" s="132"/>
      <c r="J151" s="67"/>
      <c r="K151" s="45"/>
      <c r="L151" s="45"/>
      <c r="M151" s="45"/>
      <c r="N151" s="45"/>
      <c r="O151" s="45"/>
      <c r="P151" s="45"/>
      <c r="Q151" s="45"/>
      <c r="R151" s="45"/>
      <c r="S151" s="45"/>
      <c r="T151" s="45"/>
      <c r="U151" s="45"/>
      <c r="V151" s="45"/>
      <c r="W151" s="45"/>
      <c r="X151" s="45"/>
      <c r="Y151" s="45"/>
      <c r="Z151" s="45"/>
      <c r="AA151" s="107"/>
      <c r="AB151" s="107"/>
      <c r="AC151" s="107"/>
      <c r="AD151" s="107"/>
      <c r="AE151" s="107"/>
      <c r="AF151" s="107"/>
      <c r="AG151" s="107"/>
      <c r="AH151" s="107"/>
      <c r="AI151" s="107"/>
      <c r="AJ151" s="107"/>
      <c r="AK151" s="107"/>
      <c r="AL151" s="107"/>
      <c r="AM151" s="107"/>
      <c r="AN151" s="107"/>
      <c r="AO151" s="107"/>
      <c r="AP151" s="107"/>
      <c r="AQ151" s="107"/>
      <c r="AR151" s="107"/>
    </row>
    <row r="152" spans="1:44" ht="15">
      <c r="A152" s="68"/>
      <c r="B152" s="68"/>
      <c r="C152" s="68"/>
      <c r="D152" s="68"/>
      <c r="E152" s="68"/>
      <c r="F152" s="68"/>
      <c r="G152" s="68"/>
      <c r="H152" s="68"/>
      <c r="I152" s="132"/>
      <c r="J152" s="67"/>
      <c r="K152" s="45"/>
      <c r="L152" s="45"/>
      <c r="M152" s="45"/>
      <c r="N152" s="45"/>
      <c r="O152" s="45"/>
      <c r="P152" s="45"/>
      <c r="Q152" s="45"/>
      <c r="R152" s="45"/>
      <c r="S152" s="45"/>
      <c r="T152" s="45"/>
      <c r="U152" s="45"/>
      <c r="V152" s="45"/>
      <c r="W152" s="45"/>
      <c r="X152" s="45"/>
      <c r="Y152" s="45"/>
      <c r="Z152" s="45"/>
      <c r="AA152" s="107"/>
      <c r="AB152" s="107"/>
      <c r="AC152" s="107"/>
      <c r="AD152" s="107"/>
      <c r="AE152" s="107"/>
      <c r="AF152" s="107"/>
      <c r="AG152" s="107"/>
      <c r="AH152" s="107"/>
      <c r="AI152" s="107"/>
      <c r="AJ152" s="107"/>
      <c r="AK152" s="107"/>
      <c r="AL152" s="107"/>
      <c r="AM152" s="107"/>
      <c r="AN152" s="107"/>
      <c r="AO152" s="107"/>
      <c r="AP152" s="107"/>
      <c r="AQ152" s="107"/>
      <c r="AR152" s="107"/>
    </row>
    <row r="153" spans="1:44" ht="15">
      <c r="A153" s="68"/>
      <c r="B153" s="68"/>
      <c r="C153" s="68"/>
      <c r="D153" s="68"/>
      <c r="E153" s="68"/>
      <c r="F153" s="68"/>
      <c r="G153" s="68"/>
      <c r="H153" s="68"/>
      <c r="I153" s="132"/>
      <c r="J153" s="67"/>
      <c r="K153" s="45"/>
      <c r="L153" s="45"/>
      <c r="M153" s="45"/>
      <c r="N153" s="45"/>
      <c r="O153" s="45"/>
      <c r="P153" s="45"/>
      <c r="Q153" s="45"/>
      <c r="R153" s="45"/>
      <c r="S153" s="45"/>
      <c r="T153" s="45"/>
      <c r="U153" s="45"/>
      <c r="V153" s="45"/>
      <c r="W153" s="45"/>
      <c r="X153" s="45"/>
      <c r="Y153" s="45"/>
      <c r="Z153" s="45"/>
      <c r="AA153" s="107"/>
      <c r="AB153" s="107"/>
      <c r="AC153" s="107"/>
      <c r="AD153" s="107"/>
      <c r="AE153" s="107"/>
      <c r="AF153" s="107"/>
      <c r="AG153" s="107"/>
      <c r="AH153" s="107"/>
      <c r="AI153" s="107"/>
      <c r="AJ153" s="107"/>
      <c r="AK153" s="107"/>
      <c r="AL153" s="107"/>
      <c r="AM153" s="107"/>
      <c r="AN153" s="107"/>
      <c r="AO153" s="107"/>
      <c r="AP153" s="107"/>
      <c r="AQ153" s="107"/>
      <c r="AR153" s="107"/>
    </row>
    <row r="154" spans="1:44" ht="15">
      <c r="A154" s="68"/>
      <c r="B154" s="68"/>
      <c r="C154" s="68"/>
      <c r="D154" s="68"/>
      <c r="E154" s="68"/>
      <c r="F154" s="68"/>
      <c r="G154" s="68"/>
      <c r="H154" s="68"/>
      <c r="I154" s="132"/>
      <c r="J154" s="67"/>
      <c r="K154" s="45"/>
      <c r="L154" s="45"/>
      <c r="M154" s="45"/>
      <c r="N154" s="45"/>
      <c r="O154" s="45"/>
      <c r="P154" s="45"/>
      <c r="Q154" s="45"/>
      <c r="R154" s="45"/>
      <c r="S154" s="45"/>
      <c r="T154" s="45"/>
      <c r="U154" s="45"/>
      <c r="V154" s="45"/>
      <c r="W154" s="45"/>
      <c r="X154" s="45"/>
      <c r="Y154" s="45"/>
      <c r="Z154" s="45"/>
      <c r="AA154" s="107"/>
      <c r="AB154" s="107"/>
      <c r="AC154" s="107"/>
      <c r="AD154" s="107"/>
      <c r="AE154" s="107"/>
      <c r="AF154" s="107"/>
      <c r="AG154" s="107"/>
      <c r="AH154" s="107"/>
      <c r="AI154" s="107"/>
      <c r="AJ154" s="107"/>
      <c r="AK154" s="107"/>
      <c r="AL154" s="107"/>
      <c r="AM154" s="107"/>
      <c r="AN154" s="107"/>
      <c r="AO154" s="107"/>
      <c r="AP154" s="107"/>
      <c r="AQ154" s="107"/>
      <c r="AR154" s="107"/>
    </row>
    <row r="155" spans="1:44" ht="15">
      <c r="A155" s="68"/>
      <c r="B155" s="68"/>
      <c r="C155" s="68"/>
      <c r="D155" s="68"/>
      <c r="E155" s="68"/>
      <c r="F155" s="68"/>
      <c r="G155" s="68"/>
      <c r="H155" s="68"/>
      <c r="I155" s="132"/>
      <c r="J155" s="67"/>
      <c r="K155" s="45"/>
      <c r="L155" s="45"/>
      <c r="M155" s="45"/>
      <c r="N155" s="45"/>
      <c r="O155" s="45"/>
      <c r="P155" s="45"/>
      <c r="Q155" s="45"/>
      <c r="R155" s="45"/>
      <c r="S155" s="45"/>
      <c r="T155" s="45"/>
      <c r="U155" s="45"/>
      <c r="V155" s="45"/>
      <c r="W155" s="45"/>
      <c r="X155" s="45"/>
      <c r="Y155" s="45"/>
      <c r="Z155" s="45"/>
      <c r="AA155" s="107"/>
      <c r="AB155" s="107"/>
      <c r="AC155" s="107"/>
      <c r="AD155" s="107"/>
      <c r="AE155" s="107"/>
      <c r="AF155" s="107"/>
      <c r="AG155" s="107"/>
      <c r="AH155" s="107"/>
      <c r="AI155" s="107"/>
      <c r="AJ155" s="107"/>
      <c r="AK155" s="107"/>
      <c r="AL155" s="107"/>
      <c r="AM155" s="107"/>
      <c r="AN155" s="107"/>
      <c r="AO155" s="107"/>
      <c r="AP155" s="107"/>
      <c r="AQ155" s="107"/>
      <c r="AR155" s="107"/>
    </row>
    <row r="156" spans="1:44" ht="15">
      <c r="A156" s="68"/>
      <c r="B156" s="68"/>
      <c r="C156" s="68"/>
      <c r="D156" s="68"/>
      <c r="E156" s="68"/>
      <c r="F156" s="68"/>
      <c r="G156" s="68"/>
      <c r="H156" s="68"/>
      <c r="I156" s="132"/>
      <c r="J156" s="67"/>
      <c r="K156" s="45"/>
      <c r="L156" s="45"/>
      <c r="M156" s="45"/>
      <c r="N156" s="45"/>
      <c r="O156" s="45"/>
      <c r="P156" s="45"/>
      <c r="Q156" s="45"/>
      <c r="R156" s="45"/>
      <c r="S156" s="45"/>
      <c r="T156" s="45"/>
      <c r="U156" s="45"/>
      <c r="V156" s="45"/>
      <c r="W156" s="45"/>
      <c r="X156" s="45"/>
      <c r="Y156" s="45"/>
      <c r="Z156" s="45"/>
      <c r="AA156" s="107"/>
      <c r="AB156" s="107"/>
      <c r="AC156" s="107"/>
      <c r="AD156" s="107"/>
      <c r="AE156" s="107"/>
      <c r="AF156" s="107"/>
      <c r="AG156" s="107"/>
      <c r="AH156" s="107"/>
      <c r="AI156" s="107"/>
      <c r="AJ156" s="107"/>
      <c r="AK156" s="107"/>
      <c r="AL156" s="107"/>
      <c r="AM156" s="107"/>
      <c r="AN156" s="107"/>
      <c r="AO156" s="107"/>
      <c r="AP156" s="107"/>
      <c r="AQ156" s="107"/>
      <c r="AR156" s="107"/>
    </row>
    <row r="157" spans="1:44" ht="15">
      <c r="A157" s="68"/>
      <c r="B157" s="68"/>
      <c r="C157" s="68"/>
      <c r="D157" s="68"/>
      <c r="E157" s="68"/>
      <c r="F157" s="68"/>
      <c r="G157" s="68"/>
      <c r="H157" s="68"/>
      <c r="I157" s="132"/>
      <c r="J157" s="67"/>
      <c r="K157" s="45"/>
      <c r="L157" s="45"/>
      <c r="M157" s="45"/>
      <c r="N157" s="45"/>
      <c r="O157" s="45"/>
      <c r="P157" s="45"/>
      <c r="Q157" s="45"/>
      <c r="R157" s="45"/>
      <c r="S157" s="45"/>
      <c r="T157" s="45"/>
      <c r="U157" s="45"/>
      <c r="V157" s="45"/>
      <c r="W157" s="45"/>
      <c r="X157" s="45"/>
      <c r="Y157" s="45"/>
      <c r="Z157" s="45"/>
      <c r="AA157" s="107"/>
      <c r="AB157" s="107"/>
      <c r="AC157" s="107"/>
      <c r="AD157" s="107"/>
      <c r="AE157" s="107"/>
      <c r="AF157" s="107"/>
      <c r="AG157" s="107"/>
      <c r="AH157" s="107"/>
      <c r="AI157" s="107"/>
      <c r="AJ157" s="107"/>
      <c r="AK157" s="107"/>
      <c r="AL157" s="107"/>
      <c r="AM157" s="107"/>
      <c r="AN157" s="107"/>
      <c r="AO157" s="107"/>
      <c r="AP157" s="107"/>
      <c r="AQ157" s="107"/>
      <c r="AR157" s="107"/>
    </row>
    <row r="158" spans="1:44" ht="15">
      <c r="A158" s="68"/>
      <c r="B158" s="68"/>
      <c r="C158" s="68"/>
      <c r="D158" s="68"/>
      <c r="E158" s="68"/>
      <c r="F158" s="68"/>
      <c r="G158" s="68"/>
      <c r="H158" s="68"/>
      <c r="I158" s="132"/>
      <c r="J158" s="67"/>
      <c r="K158" s="45"/>
      <c r="L158" s="45"/>
      <c r="M158" s="45"/>
      <c r="N158" s="45"/>
      <c r="O158" s="45"/>
      <c r="P158" s="45"/>
      <c r="Q158" s="45"/>
      <c r="R158" s="45"/>
      <c r="S158" s="45"/>
      <c r="T158" s="45"/>
      <c r="U158" s="45"/>
      <c r="V158" s="45"/>
      <c r="W158" s="45"/>
      <c r="X158" s="45"/>
      <c r="Y158" s="45"/>
      <c r="Z158" s="45"/>
      <c r="AA158" s="107"/>
      <c r="AB158" s="107"/>
      <c r="AC158" s="107"/>
      <c r="AD158" s="107"/>
      <c r="AE158" s="107"/>
      <c r="AF158" s="107"/>
      <c r="AG158" s="107"/>
      <c r="AH158" s="107"/>
      <c r="AI158" s="107"/>
      <c r="AJ158" s="107"/>
      <c r="AK158" s="107"/>
      <c r="AL158" s="107"/>
      <c r="AM158" s="107"/>
      <c r="AN158" s="107"/>
      <c r="AO158" s="107"/>
      <c r="AP158" s="107"/>
      <c r="AQ158" s="107"/>
      <c r="AR158" s="107"/>
    </row>
    <row r="159" spans="1:44" ht="15">
      <c r="A159" s="68"/>
      <c r="B159" s="68"/>
      <c r="C159" s="68"/>
      <c r="D159" s="68"/>
      <c r="E159" s="68"/>
      <c r="F159" s="68"/>
      <c r="G159" s="68"/>
      <c r="H159" s="68"/>
      <c r="I159" s="132"/>
      <c r="J159" s="67"/>
      <c r="K159" s="45"/>
      <c r="L159" s="45"/>
      <c r="M159" s="45"/>
      <c r="N159" s="45"/>
      <c r="O159" s="45"/>
      <c r="P159" s="45"/>
      <c r="Q159" s="45"/>
      <c r="R159" s="45"/>
      <c r="S159" s="45"/>
      <c r="T159" s="45"/>
      <c r="U159" s="45"/>
      <c r="V159" s="45"/>
      <c r="W159" s="45"/>
      <c r="X159" s="45"/>
      <c r="Y159" s="45"/>
      <c r="Z159" s="45"/>
      <c r="AA159" s="107"/>
      <c r="AB159" s="107"/>
      <c r="AC159" s="107"/>
      <c r="AD159" s="107"/>
      <c r="AE159" s="107"/>
      <c r="AF159" s="107"/>
      <c r="AG159" s="107"/>
      <c r="AH159" s="107"/>
      <c r="AI159" s="107"/>
      <c r="AJ159" s="107"/>
      <c r="AK159" s="107"/>
      <c r="AL159" s="107"/>
      <c r="AM159" s="107"/>
      <c r="AN159" s="107"/>
      <c r="AO159" s="107"/>
      <c r="AP159" s="107"/>
      <c r="AQ159" s="107"/>
      <c r="AR159" s="107"/>
    </row>
    <row r="160" spans="1:44" ht="15">
      <c r="A160" s="68"/>
      <c r="B160" s="68"/>
      <c r="C160" s="68"/>
      <c r="D160" s="68"/>
      <c r="E160" s="68"/>
      <c r="F160" s="68"/>
      <c r="G160" s="68"/>
      <c r="H160" s="68"/>
      <c r="I160" s="132"/>
      <c r="J160" s="67"/>
      <c r="K160" s="45"/>
      <c r="L160" s="45"/>
      <c r="M160" s="45"/>
      <c r="N160" s="45"/>
      <c r="O160" s="45"/>
      <c r="P160" s="45"/>
      <c r="Q160" s="45"/>
      <c r="R160" s="45"/>
      <c r="S160" s="45"/>
      <c r="T160" s="45"/>
      <c r="U160" s="45"/>
      <c r="V160" s="45"/>
      <c r="W160" s="45"/>
      <c r="X160" s="45"/>
      <c r="Y160" s="45"/>
      <c r="Z160" s="45"/>
      <c r="AA160" s="107"/>
      <c r="AB160" s="107"/>
      <c r="AC160" s="107"/>
      <c r="AD160" s="107"/>
      <c r="AE160" s="107"/>
      <c r="AF160" s="107"/>
      <c r="AG160" s="107"/>
      <c r="AH160" s="107"/>
      <c r="AI160" s="107"/>
      <c r="AJ160" s="107"/>
      <c r="AK160" s="107"/>
      <c r="AL160" s="107"/>
      <c r="AM160" s="107"/>
      <c r="AN160" s="107"/>
      <c r="AO160" s="107"/>
      <c r="AP160" s="107"/>
      <c r="AQ160" s="107"/>
      <c r="AR160" s="107"/>
    </row>
    <row r="161" spans="1:44" ht="15">
      <c r="A161" s="68"/>
      <c r="B161" s="68"/>
      <c r="C161" s="68"/>
      <c r="D161" s="68"/>
      <c r="E161" s="68"/>
      <c r="F161" s="68"/>
      <c r="G161" s="68"/>
      <c r="H161" s="68"/>
      <c r="I161" s="132"/>
      <c r="J161" s="67"/>
      <c r="K161" s="45"/>
      <c r="L161" s="45"/>
      <c r="M161" s="45"/>
      <c r="N161" s="45"/>
      <c r="O161" s="45"/>
      <c r="P161" s="45"/>
      <c r="Q161" s="45"/>
      <c r="R161" s="45"/>
      <c r="S161" s="45"/>
      <c r="T161" s="45"/>
      <c r="U161" s="45"/>
      <c r="V161" s="45"/>
      <c r="W161" s="45"/>
      <c r="X161" s="45"/>
      <c r="Y161" s="45"/>
      <c r="Z161" s="45"/>
      <c r="AA161" s="107"/>
      <c r="AB161" s="107"/>
      <c r="AC161" s="107"/>
      <c r="AD161" s="107"/>
      <c r="AE161" s="107"/>
      <c r="AF161" s="107"/>
      <c r="AG161" s="107"/>
      <c r="AH161" s="107"/>
      <c r="AI161" s="107"/>
      <c r="AJ161" s="107"/>
      <c r="AK161" s="107"/>
      <c r="AL161" s="107"/>
      <c r="AM161" s="107"/>
      <c r="AN161" s="107"/>
      <c r="AO161" s="107"/>
      <c r="AP161" s="107"/>
      <c r="AQ161" s="107"/>
      <c r="AR161" s="107"/>
    </row>
    <row r="162" spans="1:44" ht="15">
      <c r="A162" s="68"/>
      <c r="B162" s="68"/>
      <c r="C162" s="68"/>
      <c r="D162" s="68"/>
      <c r="E162" s="68"/>
      <c r="F162" s="68"/>
      <c r="G162" s="68"/>
      <c r="H162" s="68"/>
      <c r="I162" s="132"/>
      <c r="J162" s="67"/>
      <c r="K162" s="45"/>
      <c r="L162" s="45"/>
      <c r="M162" s="45"/>
      <c r="N162" s="45"/>
      <c r="O162" s="45"/>
      <c r="P162" s="45"/>
      <c r="Q162" s="45"/>
      <c r="R162" s="45"/>
      <c r="S162" s="45"/>
      <c r="T162" s="45"/>
      <c r="U162" s="45"/>
      <c r="V162" s="45"/>
      <c r="W162" s="45"/>
      <c r="X162" s="45"/>
      <c r="Y162" s="45"/>
      <c r="Z162" s="45"/>
      <c r="AA162" s="107"/>
      <c r="AB162" s="107"/>
      <c r="AC162" s="107"/>
      <c r="AD162" s="107"/>
      <c r="AE162" s="107"/>
      <c r="AF162" s="107"/>
      <c r="AG162" s="107"/>
      <c r="AH162" s="107"/>
      <c r="AI162" s="107"/>
      <c r="AJ162" s="107"/>
      <c r="AK162" s="107"/>
      <c r="AL162" s="107"/>
      <c r="AM162" s="107"/>
      <c r="AN162" s="107"/>
      <c r="AO162" s="107"/>
      <c r="AP162" s="107"/>
      <c r="AQ162" s="107"/>
      <c r="AR162" s="107"/>
    </row>
    <row r="163" spans="1:44" ht="15">
      <c r="A163" s="68"/>
      <c r="B163" s="68"/>
      <c r="C163" s="68"/>
      <c r="D163" s="68"/>
      <c r="E163" s="68"/>
      <c r="F163" s="68"/>
      <c r="G163" s="68"/>
      <c r="H163" s="68"/>
      <c r="I163" s="132"/>
      <c r="J163" s="67"/>
      <c r="K163" s="45"/>
      <c r="L163" s="45"/>
      <c r="M163" s="45"/>
      <c r="N163" s="45"/>
      <c r="O163" s="45"/>
      <c r="P163" s="45"/>
      <c r="Q163" s="45"/>
      <c r="R163" s="45"/>
      <c r="S163" s="45"/>
      <c r="T163" s="45"/>
      <c r="U163" s="45"/>
      <c r="V163" s="45"/>
      <c r="W163" s="45"/>
      <c r="X163" s="45"/>
      <c r="Y163" s="45"/>
      <c r="Z163" s="45"/>
      <c r="AA163" s="107"/>
      <c r="AB163" s="107"/>
      <c r="AC163" s="107"/>
      <c r="AD163" s="107"/>
      <c r="AE163" s="107"/>
      <c r="AF163" s="107"/>
      <c r="AG163" s="107"/>
      <c r="AH163" s="107"/>
      <c r="AI163" s="107"/>
      <c r="AJ163" s="107"/>
      <c r="AK163" s="107"/>
      <c r="AL163" s="107"/>
      <c r="AM163" s="107"/>
      <c r="AN163" s="107"/>
      <c r="AO163" s="107"/>
      <c r="AP163" s="107"/>
      <c r="AQ163" s="107"/>
      <c r="AR163" s="107"/>
    </row>
    <row r="164" spans="1:44" ht="15">
      <c r="A164" s="68"/>
      <c r="B164" s="68"/>
      <c r="C164" s="68"/>
      <c r="D164" s="68"/>
      <c r="E164" s="68"/>
      <c r="F164" s="68"/>
      <c r="G164" s="68"/>
      <c r="H164" s="68"/>
      <c r="I164" s="132"/>
      <c r="J164" s="67"/>
      <c r="K164" s="45"/>
      <c r="L164" s="45"/>
      <c r="M164" s="45"/>
      <c r="N164" s="45"/>
      <c r="O164" s="45"/>
      <c r="P164" s="45"/>
      <c r="Q164" s="45"/>
      <c r="R164" s="45"/>
      <c r="S164" s="45"/>
      <c r="T164" s="45"/>
      <c r="U164" s="45"/>
      <c r="V164" s="45"/>
      <c r="W164" s="45"/>
      <c r="X164" s="45"/>
      <c r="Y164" s="45"/>
      <c r="Z164" s="45"/>
      <c r="AA164" s="107"/>
      <c r="AB164" s="107"/>
      <c r="AC164" s="107"/>
      <c r="AD164" s="107"/>
      <c r="AE164" s="107"/>
      <c r="AF164" s="107"/>
      <c r="AG164" s="107"/>
      <c r="AH164" s="107"/>
      <c r="AI164" s="107"/>
      <c r="AJ164" s="107"/>
      <c r="AK164" s="107"/>
      <c r="AL164" s="107"/>
      <c r="AM164" s="107"/>
      <c r="AN164" s="107"/>
      <c r="AO164" s="107"/>
      <c r="AP164" s="107"/>
      <c r="AQ164" s="107"/>
      <c r="AR164" s="107"/>
    </row>
    <row r="165" spans="1:44" ht="15">
      <c r="A165" s="68"/>
      <c r="B165" s="68"/>
      <c r="C165" s="68"/>
      <c r="D165" s="68"/>
      <c r="E165" s="68"/>
      <c r="F165" s="68"/>
      <c r="G165" s="68"/>
      <c r="H165" s="68"/>
      <c r="I165" s="132"/>
      <c r="J165" s="67"/>
      <c r="K165" s="45"/>
      <c r="L165" s="45"/>
      <c r="M165" s="45"/>
      <c r="N165" s="45"/>
      <c r="O165" s="45"/>
      <c r="P165" s="45"/>
      <c r="Q165" s="45"/>
      <c r="R165" s="45"/>
      <c r="S165" s="45"/>
      <c r="T165" s="45"/>
      <c r="U165" s="45"/>
      <c r="V165" s="45"/>
      <c r="W165" s="45"/>
      <c r="X165" s="45"/>
      <c r="Y165" s="45"/>
      <c r="Z165" s="45"/>
      <c r="AA165" s="107"/>
      <c r="AB165" s="107"/>
      <c r="AC165" s="107"/>
      <c r="AD165" s="107"/>
      <c r="AE165" s="107"/>
      <c r="AF165" s="107"/>
      <c r="AG165" s="107"/>
      <c r="AH165" s="107"/>
      <c r="AI165" s="107"/>
      <c r="AJ165" s="107"/>
      <c r="AK165" s="107"/>
      <c r="AL165" s="107"/>
      <c r="AM165" s="107"/>
      <c r="AN165" s="107"/>
      <c r="AO165" s="107"/>
      <c r="AP165" s="107"/>
      <c r="AQ165" s="107"/>
      <c r="AR165" s="107"/>
    </row>
    <row r="166" spans="1:44" ht="15">
      <c r="A166" s="68"/>
      <c r="B166" s="68"/>
      <c r="C166" s="68"/>
      <c r="D166" s="68"/>
      <c r="E166" s="68"/>
      <c r="F166" s="68"/>
      <c r="G166" s="68"/>
      <c r="H166" s="68"/>
      <c r="I166" s="132"/>
      <c r="J166" s="67"/>
      <c r="K166" s="45"/>
      <c r="L166" s="45"/>
      <c r="M166" s="45"/>
      <c r="N166" s="45"/>
      <c r="O166" s="45"/>
      <c r="P166" s="45"/>
      <c r="Q166" s="45"/>
      <c r="R166" s="45"/>
      <c r="S166" s="45"/>
      <c r="T166" s="45"/>
      <c r="U166" s="45"/>
      <c r="V166" s="45"/>
      <c r="W166" s="45"/>
      <c r="X166" s="45"/>
      <c r="Y166" s="45"/>
      <c r="Z166" s="45"/>
      <c r="AA166" s="107"/>
      <c r="AB166" s="107"/>
      <c r="AC166" s="107"/>
      <c r="AD166" s="107"/>
      <c r="AE166" s="107"/>
      <c r="AF166" s="107"/>
      <c r="AG166" s="107"/>
      <c r="AH166" s="107"/>
      <c r="AI166" s="107"/>
      <c r="AJ166" s="107"/>
      <c r="AK166" s="107"/>
      <c r="AL166" s="107"/>
      <c r="AM166" s="107"/>
      <c r="AN166" s="107"/>
      <c r="AO166" s="107"/>
      <c r="AP166" s="107"/>
      <c r="AQ166" s="107"/>
      <c r="AR166" s="107"/>
    </row>
    <row r="167" spans="1:44" ht="15">
      <c r="A167" s="68"/>
      <c r="B167" s="68"/>
      <c r="C167" s="68"/>
      <c r="D167" s="68"/>
      <c r="E167" s="68"/>
      <c r="F167" s="68"/>
      <c r="G167" s="68"/>
      <c r="H167" s="68"/>
      <c r="I167" s="132"/>
      <c r="J167" s="67"/>
      <c r="K167" s="45"/>
      <c r="L167" s="45"/>
      <c r="M167" s="45"/>
      <c r="N167" s="45"/>
      <c r="O167" s="45"/>
      <c r="P167" s="45"/>
      <c r="Q167" s="45"/>
      <c r="R167" s="45"/>
      <c r="S167" s="45"/>
      <c r="T167" s="45"/>
      <c r="U167" s="45"/>
      <c r="V167" s="45"/>
      <c r="W167" s="45"/>
      <c r="X167" s="45"/>
      <c r="Y167" s="45"/>
      <c r="Z167" s="45"/>
      <c r="AA167" s="107"/>
      <c r="AB167" s="107"/>
      <c r="AC167" s="107"/>
      <c r="AD167" s="107"/>
      <c r="AE167" s="107"/>
      <c r="AF167" s="107"/>
      <c r="AG167" s="107"/>
      <c r="AH167" s="107"/>
      <c r="AI167" s="107"/>
      <c r="AJ167" s="107"/>
      <c r="AK167" s="107"/>
      <c r="AL167" s="107"/>
      <c r="AM167" s="107"/>
      <c r="AN167" s="107"/>
      <c r="AO167" s="107"/>
      <c r="AP167" s="107"/>
      <c r="AQ167" s="107"/>
      <c r="AR167" s="107"/>
    </row>
    <row r="168" spans="1:26" ht="15">
      <c r="A168" s="68"/>
      <c r="B168" s="68"/>
      <c r="C168" s="68"/>
      <c r="D168" s="68"/>
      <c r="E168" s="68"/>
      <c r="F168" s="68"/>
      <c r="G168" s="68"/>
      <c r="H168" s="68"/>
      <c r="I168" s="132"/>
      <c r="J168" s="67"/>
      <c r="K168" s="45"/>
      <c r="L168" s="45"/>
      <c r="M168" s="45"/>
      <c r="N168" s="45"/>
      <c r="O168" s="45"/>
      <c r="P168" s="45"/>
      <c r="Q168" s="45"/>
      <c r="R168" s="45"/>
      <c r="S168" s="45"/>
      <c r="T168" s="45"/>
      <c r="U168" s="45"/>
      <c r="V168" s="45"/>
      <c r="W168" s="45"/>
      <c r="X168" s="45"/>
      <c r="Y168" s="45"/>
      <c r="Z168" s="45"/>
    </row>
    <row r="169" spans="1:8" ht="15">
      <c r="A169" s="68"/>
      <c r="B169" s="68"/>
      <c r="C169" s="68"/>
      <c r="D169" s="68"/>
      <c r="E169" s="68"/>
      <c r="F169" s="68"/>
      <c r="G169" s="68"/>
      <c r="H169" s="68"/>
    </row>
    <row r="170" spans="1:8" ht="15">
      <c r="A170" s="68"/>
      <c r="B170" s="68"/>
      <c r="C170" s="68"/>
      <c r="D170" s="68"/>
      <c r="E170" s="68"/>
      <c r="F170" s="68"/>
      <c r="G170" s="68"/>
      <c r="H170" s="68"/>
    </row>
    <row r="171" spans="1:8" ht="15">
      <c r="A171" s="68"/>
      <c r="B171" s="68"/>
      <c r="C171" s="68"/>
      <c r="D171" s="68"/>
      <c r="E171" s="68"/>
      <c r="F171" s="68"/>
      <c r="G171" s="68"/>
      <c r="H171" s="68"/>
    </row>
  </sheetData>
  <sheetProtection password="A61E" sheet="1" objects="1" scenarios="1"/>
  <mergeCells count="7">
    <mergeCell ref="A31:C31"/>
    <mergeCell ref="A1:H1"/>
    <mergeCell ref="A2:H2"/>
    <mergeCell ref="A14:C14"/>
    <mergeCell ref="A27:D27"/>
    <mergeCell ref="A8:C8"/>
    <mergeCell ref="A9:D9"/>
  </mergeCells>
  <conditionalFormatting sqref="AB2:AB95 AB97:AB133">
    <cfRule type="expression" priority="1" dxfId="6" stopIfTrue="1">
      <formula>AA2=$A$9</formula>
    </cfRule>
  </conditionalFormatting>
  <conditionalFormatting sqref="AA97:AA133 AA2:AA95">
    <cfRule type="expression" priority="2" dxfId="6" stopIfTrue="1">
      <formula>AA2=$A$9</formula>
    </cfRule>
  </conditionalFormatting>
  <hyperlinks>
    <hyperlink ref="A9" r:id="rId1" display="(See Attachment D, Chart of Accounts, for 2004-2005 ASRFIN)"/>
  </hyperlinks>
  <printOptions horizontalCentered="1"/>
  <pageMargins left="0.34" right="0.31" top="0.5" bottom="0.5" header="0.5" footer="0.5"/>
  <pageSetup horizontalDpi="600" verticalDpi="600" orientation="landscape" scale="75" r:id="rId4"/>
  <legacyDrawing r:id="rId3"/>
</worksheet>
</file>

<file path=xl/worksheets/sheet3.xml><?xml version="1.0" encoding="utf-8"?>
<worksheet xmlns="http://schemas.openxmlformats.org/spreadsheetml/2006/main" xmlns:r="http://schemas.openxmlformats.org/officeDocument/2006/relationships">
  <sheetPr codeName="Sheet12">
    <tabColor indexed="22"/>
  </sheetPr>
  <dimension ref="A1:Z123"/>
  <sheetViews>
    <sheetView zoomScale="70" zoomScaleNormal="70" workbookViewId="0" topLeftCell="A1">
      <pane ySplit="6" topLeftCell="BM7" activePane="bottomLeft" state="frozen"/>
      <selection pane="topLeft" activeCell="A1" sqref="A1"/>
      <selection pane="bottomLeft" activeCell="A2" sqref="A2:H2"/>
    </sheetView>
  </sheetViews>
  <sheetFormatPr defaultColWidth="9.140625" defaultRowHeight="12.75"/>
  <cols>
    <col min="1" max="1" width="11.00390625" style="2" customWidth="1"/>
    <col min="2" max="2" width="32.8515625" style="2" customWidth="1"/>
    <col min="3" max="3" width="11.28125" style="2" customWidth="1"/>
    <col min="4" max="5" width="20.7109375" style="2" customWidth="1"/>
    <col min="6" max="6" width="22.28125" style="2" customWidth="1"/>
    <col min="7" max="7" width="2.57421875" style="2" customWidth="1"/>
    <col min="8" max="8" width="26.28125" style="2" customWidth="1"/>
    <col min="9" max="9" width="25.7109375" style="45" customWidth="1"/>
    <col min="10" max="26" width="9.140625" style="45" customWidth="1"/>
    <col min="27" max="16384" width="9.140625" style="1" customWidth="1"/>
  </cols>
  <sheetData>
    <row r="1" spans="1:8" ht="25.5" customHeight="1">
      <c r="A1" s="250" t="s">
        <v>140</v>
      </c>
      <c r="B1" s="251"/>
      <c r="C1" s="251"/>
      <c r="D1" s="251"/>
      <c r="E1" s="251"/>
      <c r="F1" s="251"/>
      <c r="G1" s="251"/>
      <c r="H1" s="252"/>
    </row>
    <row r="2" spans="1:8" ht="18.75" thickBot="1">
      <c r="A2" s="253" t="s">
        <v>632</v>
      </c>
      <c r="B2" s="254"/>
      <c r="C2" s="254"/>
      <c r="D2" s="254"/>
      <c r="E2" s="254"/>
      <c r="F2" s="254"/>
      <c r="G2" s="254"/>
      <c r="H2" s="255"/>
    </row>
    <row r="3" spans="1:8" ht="15">
      <c r="A3" s="47"/>
      <c r="B3" s="48"/>
      <c r="C3" s="48"/>
      <c r="D3" s="48"/>
      <c r="E3" s="48"/>
      <c r="F3" s="48"/>
      <c r="G3" s="48"/>
      <c r="H3" s="49"/>
    </row>
    <row r="4" spans="1:8" ht="15.75">
      <c r="A4" s="50" t="s">
        <v>0</v>
      </c>
      <c r="B4" s="51" t="s">
        <v>1</v>
      </c>
      <c r="C4" s="48"/>
      <c r="D4" s="48"/>
      <c r="E4" s="48"/>
      <c r="F4" s="48"/>
      <c r="G4" s="48"/>
      <c r="H4" s="52"/>
    </row>
    <row r="5" spans="1:8" ht="21.75" customHeight="1">
      <c r="A5" s="90">
        <f>'Fiscal Year 2008 Worksheet'!A5</f>
        <v>0</v>
      </c>
      <c r="B5" s="91">
        <f>'Fiscal Year 2008 Worksheet'!B5</f>
        <v>0</v>
      </c>
      <c r="C5" s="3"/>
      <c r="D5" s="48"/>
      <c r="E5" s="48"/>
      <c r="F5" s="48"/>
      <c r="G5" s="48"/>
      <c r="H5" s="52"/>
    </row>
    <row r="6" spans="1:8" ht="10.5" customHeight="1">
      <c r="A6" s="47"/>
      <c r="B6" s="48"/>
      <c r="C6" s="48"/>
      <c r="D6" s="48"/>
      <c r="E6" s="48"/>
      <c r="F6" s="48"/>
      <c r="G6" s="48"/>
      <c r="H6" s="52"/>
    </row>
    <row r="7" spans="1:8" ht="10.5" customHeight="1">
      <c r="A7" s="47"/>
      <c r="B7" s="48"/>
      <c r="C7" s="48"/>
      <c r="D7" s="48"/>
      <c r="E7" s="48"/>
      <c r="F7" s="48"/>
      <c r="G7" s="48"/>
      <c r="H7" s="52"/>
    </row>
    <row r="8" spans="1:10" ht="15" customHeight="1">
      <c r="A8" s="249" t="s">
        <v>440</v>
      </c>
      <c r="B8" s="240"/>
      <c r="C8" s="240"/>
      <c r="D8" s="240"/>
      <c r="E8" s="48"/>
      <c r="F8" s="94"/>
      <c r="G8" s="48"/>
      <c r="H8" s="53"/>
      <c r="I8" s="65"/>
      <c r="J8" s="65"/>
    </row>
    <row r="9" spans="1:10" ht="16.5" customHeight="1">
      <c r="A9" s="256" t="s">
        <v>648</v>
      </c>
      <c r="B9" s="248"/>
      <c r="C9" s="248"/>
      <c r="D9" s="248"/>
      <c r="E9" s="147"/>
      <c r="F9" s="48"/>
      <c r="G9" s="48"/>
      <c r="H9" s="53"/>
      <c r="I9" s="66"/>
      <c r="J9" s="67"/>
    </row>
    <row r="10" spans="1:10" ht="15">
      <c r="A10" s="85" t="s">
        <v>609</v>
      </c>
      <c r="B10" s="163"/>
      <c r="C10" s="163"/>
      <c r="D10" s="163"/>
      <c r="E10" s="78"/>
      <c r="F10" s="30"/>
      <c r="G10" s="48"/>
      <c r="H10" s="53"/>
      <c r="I10" s="65"/>
      <c r="J10" s="65"/>
    </row>
    <row r="11" spans="1:10" ht="6.75" customHeight="1" thickBot="1">
      <c r="A11" s="79"/>
      <c r="B11" s="80"/>
      <c r="C11" s="80"/>
      <c r="D11" s="80"/>
      <c r="E11" s="78"/>
      <c r="F11" s="83"/>
      <c r="G11" s="48"/>
      <c r="H11" s="53"/>
      <c r="I11" s="65"/>
      <c r="J11" s="65"/>
    </row>
    <row r="12" spans="1:10" ht="16.5" thickBot="1">
      <c r="A12" s="77" t="s">
        <v>435</v>
      </c>
      <c r="B12" s="56"/>
      <c r="C12" s="80"/>
      <c r="D12" s="80"/>
      <c r="E12" s="78"/>
      <c r="G12" s="48"/>
      <c r="H12" s="84">
        <f>SUM(F8-F10)</f>
        <v>0</v>
      </c>
      <c r="I12" s="65"/>
      <c r="J12" s="65"/>
    </row>
    <row r="13" spans="1:10" ht="21.75" customHeight="1">
      <c r="A13" s="47"/>
      <c r="B13" s="48"/>
      <c r="C13" s="48"/>
      <c r="D13" s="48"/>
      <c r="E13" s="48"/>
      <c r="F13" s="48"/>
      <c r="G13" s="48"/>
      <c r="H13" s="53"/>
      <c r="I13" s="65"/>
      <c r="J13" s="65"/>
    </row>
    <row r="14" spans="1:10" ht="15">
      <c r="A14" s="249" t="s">
        <v>438</v>
      </c>
      <c r="B14" s="240"/>
      <c r="C14" s="240"/>
      <c r="D14" s="48"/>
      <c r="E14" s="54"/>
      <c r="F14" s="30"/>
      <c r="G14" s="48"/>
      <c r="H14" s="70"/>
      <c r="I14" s="65"/>
      <c r="J14" s="65"/>
    </row>
    <row r="15" spans="1:10" ht="6.75" customHeight="1">
      <c r="A15" s="47"/>
      <c r="B15" s="54"/>
      <c r="C15" s="54"/>
      <c r="D15" s="54"/>
      <c r="E15" s="54"/>
      <c r="F15" s="27"/>
      <c r="G15" s="48"/>
      <c r="H15" s="55"/>
      <c r="I15" s="65"/>
      <c r="J15" s="65"/>
    </row>
    <row r="16" spans="1:10" ht="15">
      <c r="A16" s="85" t="s">
        <v>2</v>
      </c>
      <c r="B16" s="48"/>
      <c r="C16" s="48"/>
      <c r="D16" s="48"/>
      <c r="E16" s="48"/>
      <c r="F16" s="31"/>
      <c r="G16" s="48"/>
      <c r="H16" s="55"/>
      <c r="I16" s="65"/>
      <c r="J16" s="65"/>
    </row>
    <row r="17" spans="1:10" ht="6.75" customHeight="1">
      <c r="A17" s="86"/>
      <c r="B17" s="48"/>
      <c r="C17" s="48"/>
      <c r="D17" s="48"/>
      <c r="E17" s="48"/>
      <c r="F17" s="54"/>
      <c r="G17" s="48"/>
      <c r="H17" s="55"/>
      <c r="I17" s="65"/>
      <c r="J17" s="65"/>
    </row>
    <row r="18" spans="1:10" ht="15">
      <c r="A18" s="85" t="s">
        <v>3</v>
      </c>
      <c r="B18" s="48"/>
      <c r="C18" s="48"/>
      <c r="D18" s="48"/>
      <c r="E18" s="48"/>
      <c r="F18" s="30"/>
      <c r="G18" s="48"/>
      <c r="H18" s="55"/>
      <c r="I18" s="65"/>
      <c r="J18" s="65"/>
    </row>
    <row r="19" spans="1:10" ht="6.75" customHeight="1">
      <c r="A19" s="86"/>
      <c r="B19" s="48"/>
      <c r="C19" s="48"/>
      <c r="D19" s="48"/>
      <c r="E19" s="48"/>
      <c r="F19" s="54"/>
      <c r="G19" s="48"/>
      <c r="H19" s="55"/>
      <c r="I19" s="65"/>
      <c r="J19" s="65"/>
    </row>
    <row r="20" spans="1:10" ht="15">
      <c r="A20" s="166" t="s">
        <v>610</v>
      </c>
      <c r="B20" s="48"/>
      <c r="C20" s="48"/>
      <c r="D20" s="48"/>
      <c r="E20" s="48"/>
      <c r="F20" s="54"/>
      <c r="G20" s="48"/>
      <c r="H20" s="55"/>
      <c r="I20" s="65"/>
      <c r="J20" s="65"/>
    </row>
    <row r="21" spans="1:10" ht="15.75" customHeight="1">
      <c r="A21" s="166" t="s">
        <v>623</v>
      </c>
      <c r="B21" s="165"/>
      <c r="C21" s="165"/>
      <c r="D21" s="165"/>
      <c r="E21" s="164"/>
      <c r="F21" s="30"/>
      <c r="G21" s="48"/>
      <c r="H21" s="55"/>
      <c r="I21" s="66"/>
      <c r="J21" s="67"/>
    </row>
    <row r="22" spans="1:10" ht="5.25" customHeight="1">
      <c r="A22" s="166"/>
      <c r="B22" s="165"/>
      <c r="C22" s="165"/>
      <c r="D22" s="165"/>
      <c r="E22" s="167"/>
      <c r="F22" s="26"/>
      <c r="G22" s="48"/>
      <c r="H22" s="55"/>
      <c r="I22" s="66"/>
      <c r="J22" s="67"/>
    </row>
    <row r="23" spans="1:10" ht="15">
      <c r="A23" s="77" t="s">
        <v>4</v>
      </c>
      <c r="B23" s="48"/>
      <c r="C23" s="48"/>
      <c r="D23" s="48"/>
      <c r="E23" s="48"/>
      <c r="F23" s="6">
        <f>F14+F16-F18-F21</f>
        <v>0</v>
      </c>
      <c r="G23" s="48"/>
      <c r="H23" s="55"/>
      <c r="I23" s="65"/>
      <c r="J23" s="65"/>
    </row>
    <row r="24" spans="1:10" ht="6.75" customHeight="1">
      <c r="A24" s="47"/>
      <c r="B24" s="48"/>
      <c r="C24" s="48"/>
      <c r="D24" s="48"/>
      <c r="E24" s="54"/>
      <c r="F24" s="48"/>
      <c r="G24" s="48"/>
      <c r="H24" s="53"/>
      <c r="I24" s="65"/>
      <c r="J24" s="65"/>
    </row>
    <row r="25" spans="1:10" ht="15.75">
      <c r="A25" s="87" t="s">
        <v>5</v>
      </c>
      <c r="B25" s="56"/>
      <c r="C25" s="48"/>
      <c r="D25" s="48"/>
      <c r="E25" s="54"/>
      <c r="F25" s="48"/>
      <c r="G25" s="48"/>
      <c r="H25" s="212" t="str">
        <f>IF(ISNUMBER(F51),(ROUND(F23/$F$51,0)),"Enter ADM in Cell F51")</f>
        <v>Enter ADM in Cell F51</v>
      </c>
      <c r="I25" s="65"/>
      <c r="J25" s="65"/>
    </row>
    <row r="26" spans="1:10" ht="21.75" customHeight="1">
      <c r="A26" s="47"/>
      <c r="B26" s="48"/>
      <c r="C26" s="48"/>
      <c r="D26" s="48"/>
      <c r="E26" s="54"/>
      <c r="F26" s="48"/>
      <c r="G26" s="48"/>
      <c r="H26" s="52"/>
      <c r="I26" s="66"/>
      <c r="J26" s="67"/>
    </row>
    <row r="27" spans="1:10" ht="15">
      <c r="A27" s="249" t="s">
        <v>607</v>
      </c>
      <c r="B27" s="240"/>
      <c r="C27" s="240"/>
      <c r="D27" s="240"/>
      <c r="E27" s="82"/>
      <c r="F27" s="32" t="e">
        <f>VLOOKUP($A$5,'Source Data'!A2:T137,19,FALSE)</f>
        <v>#N/A</v>
      </c>
      <c r="G27" s="48"/>
      <c r="H27" s="52"/>
      <c r="I27" s="65"/>
      <c r="J27" s="65"/>
    </row>
    <row r="28" spans="1:10" ht="6.75" customHeight="1">
      <c r="A28" s="47"/>
      <c r="B28" s="48"/>
      <c r="C28" s="48"/>
      <c r="D28" s="48"/>
      <c r="E28" s="54"/>
      <c r="F28" s="48"/>
      <c r="G28" s="48"/>
      <c r="H28" s="52"/>
      <c r="I28" s="65"/>
      <c r="J28" s="65"/>
    </row>
    <row r="29" spans="1:10" ht="15.75">
      <c r="A29" s="87" t="s">
        <v>6</v>
      </c>
      <c r="B29" s="56"/>
      <c r="C29" s="48"/>
      <c r="D29" s="48"/>
      <c r="E29" s="54"/>
      <c r="F29" s="48"/>
      <c r="G29" s="48"/>
      <c r="H29" s="212" t="str">
        <f>IF(ISNUMBER(F51),(ROUND(F27/$F$51,0)),"Enter ADM in Cell F51")</f>
        <v>Enter ADM in Cell F51</v>
      </c>
      <c r="I29" s="65"/>
      <c r="J29" s="65"/>
    </row>
    <row r="30" spans="1:10" ht="21.75" customHeight="1">
      <c r="A30" s="47"/>
      <c r="B30" s="48"/>
      <c r="C30" s="48"/>
      <c r="D30" s="48"/>
      <c r="E30" s="54"/>
      <c r="F30" s="48"/>
      <c r="G30" s="48"/>
      <c r="H30" s="52"/>
      <c r="I30" s="65"/>
      <c r="J30" s="65"/>
    </row>
    <row r="31" spans="1:10" ht="15">
      <c r="A31" s="249" t="s">
        <v>439</v>
      </c>
      <c r="B31" s="240"/>
      <c r="C31" s="240"/>
      <c r="D31" s="48"/>
      <c r="E31" s="54"/>
      <c r="F31" s="30"/>
      <c r="G31" s="48"/>
      <c r="H31" s="52"/>
      <c r="I31" s="65"/>
      <c r="J31" s="65"/>
    </row>
    <row r="32" spans="1:10" ht="6.75" customHeight="1">
      <c r="A32" s="57"/>
      <c r="B32" s="58"/>
      <c r="C32" s="58"/>
      <c r="D32" s="58"/>
      <c r="E32" s="58"/>
      <c r="F32" s="54"/>
      <c r="G32" s="58"/>
      <c r="H32" s="59"/>
      <c r="I32" s="65"/>
      <c r="J32" s="65"/>
    </row>
    <row r="33" spans="1:10" ht="15">
      <c r="A33" s="85" t="s">
        <v>7</v>
      </c>
      <c r="B33" s="48"/>
      <c r="C33" s="58"/>
      <c r="D33" s="58"/>
      <c r="E33" s="58"/>
      <c r="F33" s="31"/>
      <c r="G33" s="58"/>
      <c r="H33" s="59"/>
      <c r="I33" s="65"/>
      <c r="J33" s="65"/>
    </row>
    <row r="34" spans="1:10" ht="6.75" customHeight="1">
      <c r="A34" s="85"/>
      <c r="B34" s="48"/>
      <c r="C34" s="58"/>
      <c r="D34" s="58"/>
      <c r="E34" s="58"/>
      <c r="F34" s="54"/>
      <c r="G34" s="58"/>
      <c r="H34" s="59"/>
      <c r="I34" s="65"/>
      <c r="J34" s="65"/>
    </row>
    <row r="35" spans="1:10" ht="15">
      <c r="A35" s="85" t="s">
        <v>8</v>
      </c>
      <c r="B35" s="48"/>
      <c r="C35" s="58"/>
      <c r="D35" s="58"/>
      <c r="E35" s="58"/>
      <c r="F35" s="30"/>
      <c r="G35" s="58"/>
      <c r="H35" s="59"/>
      <c r="I35" s="65"/>
      <c r="J35" s="65"/>
    </row>
    <row r="36" spans="1:10" ht="6.75" customHeight="1">
      <c r="A36" s="85"/>
      <c r="B36" s="48"/>
      <c r="C36" s="58"/>
      <c r="D36" s="58"/>
      <c r="E36" s="58"/>
      <c r="F36" s="54"/>
      <c r="G36" s="58"/>
      <c r="H36" s="59"/>
      <c r="I36" s="65"/>
      <c r="J36" s="65"/>
    </row>
    <row r="37" spans="1:10" ht="15">
      <c r="A37" s="85" t="s">
        <v>614</v>
      </c>
      <c r="B37" s="48"/>
      <c r="C37" s="58"/>
      <c r="D37" s="58"/>
      <c r="E37" s="58"/>
      <c r="F37" s="30"/>
      <c r="G37" s="58"/>
      <c r="H37" s="59"/>
      <c r="I37" s="65"/>
      <c r="J37" s="65"/>
    </row>
    <row r="38" spans="1:10" ht="6.75" customHeight="1">
      <c r="A38" s="47"/>
      <c r="B38" s="48"/>
      <c r="C38" s="58"/>
      <c r="D38" s="58"/>
      <c r="E38" s="58"/>
      <c r="F38" s="58"/>
      <c r="G38" s="58"/>
      <c r="H38" s="59"/>
      <c r="I38" s="66"/>
      <c r="J38" s="67"/>
    </row>
    <row r="39" spans="1:10" ht="15">
      <c r="A39" s="77" t="s">
        <v>437</v>
      </c>
      <c r="B39" s="48"/>
      <c r="C39" s="58"/>
      <c r="D39" s="58"/>
      <c r="E39" s="58"/>
      <c r="F39" s="6">
        <f>F31+F33-F35-F37</f>
        <v>0</v>
      </c>
      <c r="G39" s="58"/>
      <c r="H39" s="59"/>
      <c r="I39" s="65"/>
      <c r="J39" s="65"/>
    </row>
    <row r="40" spans="1:10" ht="6.75" customHeight="1">
      <c r="A40" s="47"/>
      <c r="B40" s="48"/>
      <c r="C40" s="58"/>
      <c r="D40" s="58"/>
      <c r="E40" s="58"/>
      <c r="F40" s="58"/>
      <c r="G40" s="58"/>
      <c r="H40" s="59"/>
      <c r="I40" s="65"/>
      <c r="J40" s="65"/>
    </row>
    <row r="41" spans="1:10" ht="15.75">
      <c r="A41" s="87" t="s">
        <v>436</v>
      </c>
      <c r="B41" s="56"/>
      <c r="C41" s="58"/>
      <c r="D41" s="58"/>
      <c r="E41" s="58"/>
      <c r="F41" s="58"/>
      <c r="G41" s="58"/>
      <c r="H41" s="212" t="str">
        <f>IF(ISNUMBER(F51),(ROUND(F39/$F$51,0)),"Enter ADM in Cell F51")</f>
        <v>Enter ADM in Cell F51</v>
      </c>
      <c r="I41" s="65"/>
      <c r="J41" s="65"/>
    </row>
    <row r="42" spans="1:10" ht="21.75" customHeight="1">
      <c r="A42" s="57"/>
      <c r="B42" s="58"/>
      <c r="C42" s="58"/>
      <c r="D42" s="58"/>
      <c r="E42" s="58"/>
      <c r="F42" s="58"/>
      <c r="G42" s="58"/>
      <c r="H42" s="59"/>
      <c r="I42" s="66"/>
      <c r="J42" s="67"/>
    </row>
    <row r="43" spans="1:10" ht="15">
      <c r="A43" s="47" t="s">
        <v>283</v>
      </c>
      <c r="B43" s="58"/>
      <c r="C43" s="58"/>
      <c r="D43" s="58"/>
      <c r="E43" s="58"/>
      <c r="F43" s="6" t="e">
        <f>H12-F23-F27-F39</f>
        <v>#N/A</v>
      </c>
      <c r="G43" s="58"/>
      <c r="H43" s="59"/>
      <c r="I43" s="65"/>
      <c r="J43" s="65"/>
    </row>
    <row r="44" spans="1:10" ht="6.75" customHeight="1">
      <c r="A44" s="57"/>
      <c r="B44" s="58"/>
      <c r="C44" s="58"/>
      <c r="D44" s="58"/>
      <c r="E44" s="58"/>
      <c r="F44" s="58"/>
      <c r="G44" s="58"/>
      <c r="H44" s="59"/>
      <c r="I44" s="65"/>
      <c r="J44" s="65"/>
    </row>
    <row r="45" spans="1:10" ht="15.75">
      <c r="A45" s="87" t="s">
        <v>141</v>
      </c>
      <c r="B45" s="56"/>
      <c r="C45" s="58"/>
      <c r="D45" s="58"/>
      <c r="E45" s="58"/>
      <c r="F45" s="58"/>
      <c r="G45" s="58"/>
      <c r="H45" s="212" t="str">
        <f>IF(ISNUMBER(F51),(ROUND(F43/$F$51,0)),"Enter ADM in Cell F51")</f>
        <v>Enter ADM in Cell F51</v>
      </c>
      <c r="I45" s="65"/>
      <c r="J45" s="65"/>
    </row>
    <row r="46" spans="1:10" ht="21.75" customHeight="1">
      <c r="A46" s="57"/>
      <c r="B46" s="58"/>
      <c r="C46" s="58"/>
      <c r="D46" s="58"/>
      <c r="E46" s="58"/>
      <c r="F46" s="58"/>
      <c r="G46" s="58"/>
      <c r="H46" s="59"/>
      <c r="I46" s="66"/>
      <c r="J46" s="67"/>
    </row>
    <row r="47" spans="1:10" ht="15">
      <c r="A47" s="47" t="s">
        <v>9</v>
      </c>
      <c r="B47" s="58"/>
      <c r="C47" s="58"/>
      <c r="D47" s="58"/>
      <c r="E47" s="58"/>
      <c r="F47" s="98">
        <f>H12</f>
        <v>0</v>
      </c>
      <c r="G47" s="58"/>
      <c r="H47" s="59"/>
      <c r="I47" s="65"/>
      <c r="J47" s="65"/>
    </row>
    <row r="48" spans="1:10" ht="6.75" customHeight="1">
      <c r="A48" s="57"/>
      <c r="B48" s="58"/>
      <c r="C48" s="58"/>
      <c r="D48" s="58"/>
      <c r="E48" s="58"/>
      <c r="F48" s="58"/>
      <c r="G48" s="58"/>
      <c r="H48" s="59"/>
      <c r="I48" s="65"/>
      <c r="J48" s="65"/>
    </row>
    <row r="49" spans="1:10" ht="15.75">
      <c r="A49" s="87" t="s">
        <v>10</v>
      </c>
      <c r="B49" s="56"/>
      <c r="C49" s="58"/>
      <c r="D49" s="58"/>
      <c r="E49" s="58"/>
      <c r="F49" s="58"/>
      <c r="G49" s="58"/>
      <c r="H49" s="212" t="str">
        <f>IF(ISNUMBER(F51),(ROUND(F47/$F$51,0)),"Enter ADM in Cell F51")</f>
        <v>Enter ADM in Cell F51</v>
      </c>
      <c r="I49" s="65"/>
      <c r="J49" s="65"/>
    </row>
    <row r="50" spans="1:10" ht="21.75" customHeight="1">
      <c r="A50" s="57"/>
      <c r="B50" s="58"/>
      <c r="C50" s="58"/>
      <c r="D50" s="58"/>
      <c r="E50" s="58"/>
      <c r="F50" s="58"/>
      <c r="G50" s="58"/>
      <c r="H50" s="59"/>
      <c r="I50" s="65"/>
      <c r="J50" s="65"/>
    </row>
    <row r="51" spans="1:10" ht="15.75">
      <c r="A51" s="60" t="s">
        <v>284</v>
      </c>
      <c r="B51" s="58"/>
      <c r="C51" s="58"/>
      <c r="D51" s="58"/>
      <c r="E51" s="58"/>
      <c r="F51" s="4"/>
      <c r="G51" s="58"/>
      <c r="H51" s="52"/>
      <c r="I51" s="65"/>
      <c r="J51" s="65"/>
    </row>
    <row r="52" spans="1:10" ht="15.75" thickBot="1">
      <c r="A52" s="61"/>
      <c r="B52" s="62"/>
      <c r="C52" s="62"/>
      <c r="D52" s="62"/>
      <c r="E52" s="62"/>
      <c r="F52" s="62"/>
      <c r="G52" s="62"/>
      <c r="H52" s="63"/>
      <c r="I52" s="65"/>
      <c r="J52" s="65"/>
    </row>
    <row r="53" spans="1:8" ht="15">
      <c r="A53" s="46"/>
      <c r="B53" s="46"/>
      <c r="C53" s="46"/>
      <c r="D53" s="46"/>
      <c r="E53" s="46"/>
      <c r="F53" s="46"/>
      <c r="G53" s="46"/>
      <c r="H53" s="46"/>
    </row>
    <row r="54" spans="1:8" ht="15">
      <c r="A54" s="46"/>
      <c r="B54" s="46"/>
      <c r="C54" s="46"/>
      <c r="D54" s="46"/>
      <c r="E54" s="46"/>
      <c r="F54" s="46"/>
      <c r="G54" s="46"/>
      <c r="H54" s="46"/>
    </row>
    <row r="55" spans="1:8" ht="15">
      <c r="A55" s="46"/>
      <c r="B55" s="46"/>
      <c r="C55" s="46"/>
      <c r="D55" s="46"/>
      <c r="E55" s="46"/>
      <c r="F55" s="46"/>
      <c r="G55" s="46"/>
      <c r="H55" s="46"/>
    </row>
    <row r="56" spans="1:8" ht="15">
      <c r="A56" s="46"/>
      <c r="B56" s="46"/>
      <c r="C56" s="46"/>
      <c r="D56" s="46"/>
      <c r="E56" s="46"/>
      <c r="F56" s="46"/>
      <c r="G56" s="46"/>
      <c r="H56" s="46"/>
    </row>
    <row r="57" spans="1:8" ht="15">
      <c r="A57" s="46"/>
      <c r="B57" s="46"/>
      <c r="C57" s="46"/>
      <c r="D57" s="46"/>
      <c r="E57" s="46"/>
      <c r="F57" s="46"/>
      <c r="G57" s="46"/>
      <c r="H57" s="46"/>
    </row>
    <row r="58" spans="1:8" ht="15">
      <c r="A58" s="46"/>
      <c r="B58" s="46"/>
      <c r="C58" s="46"/>
      <c r="D58" s="46"/>
      <c r="E58" s="46"/>
      <c r="F58" s="46"/>
      <c r="G58" s="46"/>
      <c r="H58" s="46"/>
    </row>
    <row r="59" spans="1:8" ht="15">
      <c r="A59" s="46"/>
      <c r="B59" s="46"/>
      <c r="C59" s="46"/>
      <c r="D59" s="46"/>
      <c r="E59" s="46"/>
      <c r="F59" s="46"/>
      <c r="G59" s="46"/>
      <c r="H59" s="46"/>
    </row>
    <row r="60" spans="1:8" ht="15">
      <c r="A60" s="46"/>
      <c r="B60" s="46"/>
      <c r="C60" s="46"/>
      <c r="D60" s="46"/>
      <c r="E60" s="46"/>
      <c r="F60" s="46"/>
      <c r="G60" s="46"/>
      <c r="H60" s="46"/>
    </row>
    <row r="61" spans="1:8" ht="15">
      <c r="A61" s="46"/>
      <c r="B61" s="46"/>
      <c r="C61" s="46"/>
      <c r="D61" s="46"/>
      <c r="E61" s="46"/>
      <c r="F61" s="46"/>
      <c r="G61" s="46"/>
      <c r="H61" s="46"/>
    </row>
    <row r="62" spans="1:8" ht="15">
      <c r="A62" s="46"/>
      <c r="B62" s="46"/>
      <c r="C62" s="46"/>
      <c r="D62" s="46"/>
      <c r="E62" s="46"/>
      <c r="F62" s="46"/>
      <c r="G62" s="46"/>
      <c r="H62" s="46"/>
    </row>
    <row r="63" spans="1:8" ht="15">
      <c r="A63" s="46"/>
      <c r="B63" s="46"/>
      <c r="C63" s="46"/>
      <c r="D63" s="46"/>
      <c r="E63" s="46"/>
      <c r="F63" s="46"/>
      <c r="G63" s="46"/>
      <c r="H63" s="46"/>
    </row>
    <row r="64" spans="1:8" ht="15">
      <c r="A64" s="46"/>
      <c r="B64" s="46"/>
      <c r="C64" s="46"/>
      <c r="D64" s="46"/>
      <c r="E64" s="46"/>
      <c r="F64" s="46"/>
      <c r="G64" s="46"/>
      <c r="H64" s="46"/>
    </row>
    <row r="65" spans="1:8" ht="15">
      <c r="A65" s="46"/>
      <c r="B65" s="46"/>
      <c r="C65" s="46"/>
      <c r="D65" s="46"/>
      <c r="E65" s="46"/>
      <c r="F65" s="46"/>
      <c r="G65" s="46"/>
      <c r="H65" s="46"/>
    </row>
    <row r="66" spans="1:8" ht="15">
      <c r="A66" s="46"/>
      <c r="B66" s="46"/>
      <c r="C66" s="46"/>
      <c r="D66" s="46"/>
      <c r="E66" s="46"/>
      <c r="F66" s="46"/>
      <c r="G66" s="46"/>
      <c r="H66" s="46"/>
    </row>
    <row r="67" spans="1:8" s="45" customFormat="1" ht="15">
      <c r="A67" s="46"/>
      <c r="B67" s="46"/>
      <c r="C67" s="46"/>
      <c r="D67" s="46"/>
      <c r="E67" s="46"/>
      <c r="F67" s="46"/>
      <c r="G67" s="46"/>
      <c r="H67" s="46"/>
    </row>
    <row r="68" spans="1:8" s="45" customFormat="1" ht="15">
      <c r="A68" s="46"/>
      <c r="B68" s="46"/>
      <c r="C68" s="46"/>
      <c r="D68" s="46"/>
      <c r="E68" s="46"/>
      <c r="F68" s="46"/>
      <c r="G68" s="46"/>
      <c r="H68" s="46"/>
    </row>
    <row r="69" spans="1:8" s="45" customFormat="1" ht="15">
      <c r="A69" s="46"/>
      <c r="B69" s="46"/>
      <c r="C69" s="46"/>
      <c r="D69" s="46"/>
      <c r="E69" s="46"/>
      <c r="F69" s="46"/>
      <c r="G69" s="46"/>
      <c r="H69" s="46"/>
    </row>
    <row r="70" spans="1:8" s="45" customFormat="1" ht="15">
      <c r="A70" s="46"/>
      <c r="B70" s="46"/>
      <c r="C70" s="46"/>
      <c r="D70" s="46"/>
      <c r="E70" s="46"/>
      <c r="F70" s="46"/>
      <c r="G70" s="46"/>
      <c r="H70" s="46"/>
    </row>
    <row r="71" spans="1:8" s="45" customFormat="1" ht="52.5" customHeight="1">
      <c r="A71" s="46"/>
      <c r="B71" s="46"/>
      <c r="C71" s="46"/>
      <c r="D71" s="46"/>
      <c r="E71" s="46"/>
      <c r="F71" s="46"/>
      <c r="G71" s="46"/>
      <c r="H71" s="46"/>
    </row>
    <row r="72" spans="1:8" s="45" customFormat="1" ht="15">
      <c r="A72" s="46"/>
      <c r="B72" s="46"/>
      <c r="C72" s="46"/>
      <c r="D72" s="46"/>
      <c r="E72" s="46"/>
      <c r="F72" s="46"/>
      <c r="G72" s="46"/>
      <c r="H72" s="46"/>
    </row>
    <row r="73" spans="1:8" s="45" customFormat="1" ht="31.5" customHeight="1">
      <c r="A73" s="46"/>
      <c r="B73" s="46"/>
      <c r="C73" s="46"/>
      <c r="D73" s="46"/>
      <c r="E73" s="46"/>
      <c r="F73" s="46"/>
      <c r="G73" s="46"/>
      <c r="H73" s="46"/>
    </row>
    <row r="74" spans="1:8" s="45" customFormat="1" ht="15">
      <c r="A74" s="46"/>
      <c r="B74" s="46"/>
      <c r="C74" s="46"/>
      <c r="D74" s="46"/>
      <c r="E74" s="46"/>
      <c r="F74" s="46"/>
      <c r="G74" s="46"/>
      <c r="H74" s="46"/>
    </row>
    <row r="75" spans="1:8" s="45" customFormat="1" ht="15">
      <c r="A75" s="46"/>
      <c r="B75" s="46"/>
      <c r="C75" s="46"/>
      <c r="D75" s="46"/>
      <c r="E75" s="46"/>
      <c r="F75" s="46"/>
      <c r="G75" s="46"/>
      <c r="H75" s="46"/>
    </row>
    <row r="76" spans="1:8" s="45" customFormat="1" ht="15">
      <c r="A76" s="46"/>
      <c r="B76" s="46"/>
      <c r="C76" s="46"/>
      <c r="D76" s="46"/>
      <c r="E76" s="46"/>
      <c r="F76" s="46"/>
      <c r="G76" s="46"/>
      <c r="H76" s="46"/>
    </row>
    <row r="77" spans="1:8" s="45" customFormat="1" ht="15">
      <c r="A77" s="46"/>
      <c r="B77" s="46"/>
      <c r="C77" s="46"/>
      <c r="D77" s="46"/>
      <c r="E77" s="46"/>
      <c r="F77" s="46"/>
      <c r="G77" s="46"/>
      <c r="H77" s="46"/>
    </row>
    <row r="80" spans="9:26" s="29" customFormat="1" ht="12.75">
      <c r="I80" s="46"/>
      <c r="J80" s="46"/>
      <c r="K80" s="46"/>
      <c r="L80" s="46"/>
      <c r="M80" s="46"/>
      <c r="N80" s="46"/>
      <c r="O80" s="46"/>
      <c r="P80" s="46"/>
      <c r="Q80" s="46"/>
      <c r="R80" s="46"/>
      <c r="S80" s="46"/>
      <c r="T80" s="46"/>
      <c r="U80" s="46"/>
      <c r="V80" s="46"/>
      <c r="W80" s="46"/>
      <c r="X80" s="46"/>
      <c r="Y80" s="46"/>
      <c r="Z80" s="46"/>
    </row>
    <row r="81" spans="9:26" s="29" customFormat="1" ht="12.75">
      <c r="I81" s="46"/>
      <c r="J81" s="46"/>
      <c r="K81" s="46"/>
      <c r="L81" s="46"/>
      <c r="M81" s="46"/>
      <c r="N81" s="46"/>
      <c r="O81" s="46"/>
      <c r="P81" s="46"/>
      <c r="Q81" s="46"/>
      <c r="R81" s="46"/>
      <c r="S81" s="46"/>
      <c r="T81" s="46"/>
      <c r="U81" s="46"/>
      <c r="V81" s="46"/>
      <c r="W81" s="46"/>
      <c r="X81" s="46"/>
      <c r="Y81" s="46"/>
      <c r="Z81" s="46"/>
    </row>
    <row r="82" spans="9:26" s="29" customFormat="1" ht="12.75">
      <c r="I82" s="46"/>
      <c r="J82" s="46"/>
      <c r="K82" s="46"/>
      <c r="L82" s="46"/>
      <c r="M82" s="46"/>
      <c r="N82" s="46"/>
      <c r="O82" s="46"/>
      <c r="P82" s="46"/>
      <c r="Q82" s="46"/>
      <c r="R82" s="46"/>
      <c r="S82" s="46"/>
      <c r="T82" s="46"/>
      <c r="U82" s="46"/>
      <c r="V82" s="46"/>
      <c r="W82" s="46"/>
      <c r="X82" s="46"/>
      <c r="Y82" s="46"/>
      <c r="Z82" s="46"/>
    </row>
    <row r="83" spans="9:26" s="29" customFormat="1" ht="12.75">
      <c r="I83" s="46"/>
      <c r="J83" s="46"/>
      <c r="K83" s="46"/>
      <c r="L83" s="46"/>
      <c r="M83" s="46"/>
      <c r="N83" s="46"/>
      <c r="O83" s="46"/>
      <c r="P83" s="46"/>
      <c r="Q83" s="46"/>
      <c r="R83" s="46"/>
      <c r="S83" s="46"/>
      <c r="T83" s="46"/>
      <c r="U83" s="46"/>
      <c r="V83" s="46"/>
      <c r="W83" s="46"/>
      <c r="X83" s="46"/>
      <c r="Y83" s="46"/>
      <c r="Z83" s="46"/>
    </row>
    <row r="84" spans="9:26" s="29" customFormat="1" ht="12.75">
      <c r="I84" s="46"/>
      <c r="J84" s="46"/>
      <c r="K84" s="46"/>
      <c r="L84" s="46"/>
      <c r="M84" s="46"/>
      <c r="N84" s="46"/>
      <c r="O84" s="46"/>
      <c r="P84" s="46"/>
      <c r="Q84" s="46"/>
      <c r="R84" s="46"/>
      <c r="S84" s="46"/>
      <c r="T84" s="46"/>
      <c r="U84" s="46"/>
      <c r="V84" s="46"/>
      <c r="W84" s="46"/>
      <c r="X84" s="46"/>
      <c r="Y84" s="46"/>
      <c r="Z84" s="46"/>
    </row>
    <row r="85" spans="9:26" s="29" customFormat="1" ht="12.75">
      <c r="I85" s="46"/>
      <c r="J85" s="46"/>
      <c r="K85" s="46"/>
      <c r="L85" s="46"/>
      <c r="M85" s="46"/>
      <c r="N85" s="46"/>
      <c r="O85" s="46"/>
      <c r="P85" s="46"/>
      <c r="Q85" s="46"/>
      <c r="R85" s="46"/>
      <c r="S85" s="46"/>
      <c r="T85" s="46"/>
      <c r="U85" s="46"/>
      <c r="V85" s="46"/>
      <c r="W85" s="46"/>
      <c r="X85" s="46"/>
      <c r="Y85" s="46"/>
      <c r="Z85" s="46"/>
    </row>
    <row r="86" spans="9:26" s="29" customFormat="1" ht="12.75">
      <c r="I86" s="46"/>
      <c r="J86" s="46"/>
      <c r="K86" s="46"/>
      <c r="L86" s="46"/>
      <c r="M86" s="46"/>
      <c r="N86" s="46"/>
      <c r="O86" s="46"/>
      <c r="P86" s="46"/>
      <c r="Q86" s="46"/>
      <c r="R86" s="46"/>
      <c r="S86" s="46"/>
      <c r="T86" s="46"/>
      <c r="U86" s="46"/>
      <c r="V86" s="46"/>
      <c r="W86" s="46"/>
      <c r="X86" s="46"/>
      <c r="Y86" s="46"/>
      <c r="Z86" s="46"/>
    </row>
    <row r="87" spans="9:26" s="29" customFormat="1" ht="12.75">
      <c r="I87" s="46"/>
      <c r="J87" s="46"/>
      <c r="K87" s="46"/>
      <c r="L87" s="46"/>
      <c r="M87" s="46"/>
      <c r="N87" s="46"/>
      <c r="O87" s="46"/>
      <c r="P87" s="46"/>
      <c r="Q87" s="46"/>
      <c r="R87" s="46"/>
      <c r="S87" s="46"/>
      <c r="T87" s="46"/>
      <c r="U87" s="46"/>
      <c r="V87" s="46"/>
      <c r="W87" s="46"/>
      <c r="X87" s="46"/>
      <c r="Y87" s="46"/>
      <c r="Z87" s="46"/>
    </row>
    <row r="88" spans="9:26" s="29" customFormat="1" ht="12.75">
      <c r="I88" s="46"/>
      <c r="J88" s="46"/>
      <c r="K88" s="46"/>
      <c r="L88" s="46"/>
      <c r="M88" s="46"/>
      <c r="N88" s="46"/>
      <c r="O88" s="46"/>
      <c r="P88" s="46"/>
      <c r="Q88" s="46"/>
      <c r="R88" s="46"/>
      <c r="S88" s="46"/>
      <c r="T88" s="46"/>
      <c r="U88" s="46"/>
      <c r="V88" s="46"/>
      <c r="W88" s="46"/>
      <c r="X88" s="46"/>
      <c r="Y88" s="46"/>
      <c r="Z88" s="46"/>
    </row>
    <row r="89" spans="9:26" s="29" customFormat="1" ht="12.75">
      <c r="I89" s="46"/>
      <c r="J89" s="46"/>
      <c r="K89" s="46"/>
      <c r="L89" s="46"/>
      <c r="M89" s="46"/>
      <c r="N89" s="46"/>
      <c r="O89" s="46"/>
      <c r="P89" s="46"/>
      <c r="Q89" s="46"/>
      <c r="R89" s="46"/>
      <c r="S89" s="46"/>
      <c r="T89" s="46"/>
      <c r="U89" s="46"/>
      <c r="V89" s="46"/>
      <c r="W89" s="46"/>
      <c r="X89" s="46"/>
      <c r="Y89" s="46"/>
      <c r="Z89" s="46"/>
    </row>
    <row r="90" spans="9:26" s="29" customFormat="1" ht="12.75">
      <c r="I90" s="46"/>
      <c r="J90" s="46"/>
      <c r="K90" s="46"/>
      <c r="L90" s="46"/>
      <c r="M90" s="46"/>
      <c r="N90" s="46"/>
      <c r="O90" s="46"/>
      <c r="P90" s="46"/>
      <c r="Q90" s="46"/>
      <c r="R90" s="46"/>
      <c r="S90" s="46"/>
      <c r="T90" s="46"/>
      <c r="U90" s="46"/>
      <c r="V90" s="46"/>
      <c r="W90" s="46"/>
      <c r="X90" s="46"/>
      <c r="Y90" s="46"/>
      <c r="Z90" s="46"/>
    </row>
    <row r="91" spans="9:26" s="29" customFormat="1" ht="12.75">
      <c r="I91" s="46"/>
      <c r="J91" s="46"/>
      <c r="K91" s="46"/>
      <c r="L91" s="46"/>
      <c r="M91" s="46"/>
      <c r="N91" s="46"/>
      <c r="O91" s="46"/>
      <c r="P91" s="46"/>
      <c r="Q91" s="46"/>
      <c r="R91" s="46"/>
      <c r="S91" s="46"/>
      <c r="T91" s="46"/>
      <c r="U91" s="46"/>
      <c r="V91" s="46"/>
      <c r="W91" s="46"/>
      <c r="X91" s="46"/>
      <c r="Y91" s="46"/>
      <c r="Z91" s="46"/>
    </row>
    <row r="92" spans="9:26" s="29" customFormat="1" ht="12.75">
      <c r="I92" s="46"/>
      <c r="J92" s="46"/>
      <c r="K92" s="46"/>
      <c r="L92" s="46"/>
      <c r="M92" s="46"/>
      <c r="N92" s="46"/>
      <c r="O92" s="46"/>
      <c r="P92" s="46"/>
      <c r="Q92" s="46"/>
      <c r="R92" s="46"/>
      <c r="S92" s="46"/>
      <c r="T92" s="46"/>
      <c r="U92" s="46"/>
      <c r="V92" s="46"/>
      <c r="W92" s="46"/>
      <c r="X92" s="46"/>
      <c r="Y92" s="46"/>
      <c r="Z92" s="46"/>
    </row>
    <row r="93" spans="9:26" s="29" customFormat="1" ht="12.75">
      <c r="I93" s="46"/>
      <c r="J93" s="46"/>
      <c r="K93" s="46"/>
      <c r="L93" s="46"/>
      <c r="M93" s="46"/>
      <c r="N93" s="46"/>
      <c r="O93" s="46"/>
      <c r="P93" s="46"/>
      <c r="Q93" s="46"/>
      <c r="R93" s="46"/>
      <c r="S93" s="46"/>
      <c r="T93" s="46"/>
      <c r="U93" s="46"/>
      <c r="V93" s="46"/>
      <c r="W93" s="46"/>
      <c r="X93" s="46"/>
      <c r="Y93" s="46"/>
      <c r="Z93" s="46"/>
    </row>
    <row r="94" spans="9:26" s="29" customFormat="1" ht="12.75">
      <c r="I94" s="46"/>
      <c r="J94" s="46"/>
      <c r="K94" s="46"/>
      <c r="L94" s="46"/>
      <c r="M94" s="46"/>
      <c r="N94" s="46"/>
      <c r="O94" s="46"/>
      <c r="P94" s="46"/>
      <c r="Q94" s="46"/>
      <c r="R94" s="46"/>
      <c r="S94" s="46"/>
      <c r="T94" s="46"/>
      <c r="U94" s="46"/>
      <c r="V94" s="46"/>
      <c r="W94" s="46"/>
      <c r="X94" s="46"/>
      <c r="Y94" s="46"/>
      <c r="Z94" s="46"/>
    </row>
    <row r="95" spans="9:26" s="29" customFormat="1" ht="12.75">
      <c r="I95" s="46"/>
      <c r="J95" s="46"/>
      <c r="K95" s="46"/>
      <c r="L95" s="46"/>
      <c r="M95" s="46"/>
      <c r="N95" s="46"/>
      <c r="O95" s="46"/>
      <c r="P95" s="46"/>
      <c r="Q95" s="46"/>
      <c r="R95" s="46"/>
      <c r="S95" s="46"/>
      <c r="T95" s="46"/>
      <c r="U95" s="46"/>
      <c r="V95" s="46"/>
      <c r="W95" s="46"/>
      <c r="X95" s="46"/>
      <c r="Y95" s="46"/>
      <c r="Z95" s="46"/>
    </row>
    <row r="96" spans="9:26" s="29" customFormat="1" ht="12.75">
      <c r="I96" s="46"/>
      <c r="J96" s="46"/>
      <c r="K96" s="46"/>
      <c r="L96" s="46"/>
      <c r="M96" s="46"/>
      <c r="N96" s="46"/>
      <c r="O96" s="46"/>
      <c r="P96" s="46"/>
      <c r="Q96" s="46"/>
      <c r="R96" s="46"/>
      <c r="S96" s="46"/>
      <c r="T96" s="46"/>
      <c r="U96" s="46"/>
      <c r="V96" s="46"/>
      <c r="W96" s="46"/>
      <c r="X96" s="46"/>
      <c r="Y96" s="46"/>
      <c r="Z96" s="46"/>
    </row>
    <row r="97" spans="9:26" s="29" customFormat="1" ht="12.75">
      <c r="I97" s="46"/>
      <c r="J97" s="46"/>
      <c r="K97" s="46"/>
      <c r="L97" s="46"/>
      <c r="M97" s="46"/>
      <c r="N97" s="46"/>
      <c r="O97" s="46"/>
      <c r="P97" s="46"/>
      <c r="Q97" s="46"/>
      <c r="R97" s="46"/>
      <c r="S97" s="46"/>
      <c r="T97" s="46"/>
      <c r="U97" s="46"/>
      <c r="V97" s="46"/>
      <c r="W97" s="46"/>
      <c r="X97" s="46"/>
      <c r="Y97" s="46"/>
      <c r="Z97" s="46"/>
    </row>
    <row r="98" spans="9:26" s="29" customFormat="1" ht="12.75">
      <c r="I98" s="46"/>
      <c r="J98" s="46"/>
      <c r="K98" s="46"/>
      <c r="L98" s="46"/>
      <c r="M98" s="46"/>
      <c r="N98" s="46"/>
      <c r="O98" s="46"/>
      <c r="P98" s="46"/>
      <c r="Q98" s="46"/>
      <c r="R98" s="46"/>
      <c r="S98" s="46"/>
      <c r="T98" s="46"/>
      <c r="U98" s="46"/>
      <c r="V98" s="46"/>
      <c r="W98" s="46"/>
      <c r="X98" s="46"/>
      <c r="Y98" s="46"/>
      <c r="Z98" s="46"/>
    </row>
    <row r="99" spans="9:26" s="29" customFormat="1" ht="12.75">
      <c r="I99" s="46"/>
      <c r="J99" s="46"/>
      <c r="K99" s="46"/>
      <c r="L99" s="46"/>
      <c r="M99" s="46"/>
      <c r="N99" s="46"/>
      <c r="O99" s="46"/>
      <c r="P99" s="46"/>
      <c r="Q99" s="46"/>
      <c r="R99" s="46"/>
      <c r="S99" s="46"/>
      <c r="T99" s="46"/>
      <c r="U99" s="46"/>
      <c r="V99" s="46"/>
      <c r="W99" s="46"/>
      <c r="X99" s="46"/>
      <c r="Y99" s="46"/>
      <c r="Z99" s="46"/>
    </row>
    <row r="100" spans="9:26" s="29" customFormat="1" ht="12.75">
      <c r="I100" s="46"/>
      <c r="J100" s="46"/>
      <c r="K100" s="46"/>
      <c r="L100" s="46"/>
      <c r="M100" s="46"/>
      <c r="N100" s="46"/>
      <c r="O100" s="46"/>
      <c r="P100" s="46"/>
      <c r="Q100" s="46"/>
      <c r="R100" s="46"/>
      <c r="S100" s="46"/>
      <c r="T100" s="46"/>
      <c r="U100" s="46"/>
      <c r="V100" s="46"/>
      <c r="W100" s="46"/>
      <c r="X100" s="46"/>
      <c r="Y100" s="46"/>
      <c r="Z100" s="46"/>
    </row>
    <row r="101" spans="9:26" s="29" customFormat="1" ht="12.75">
      <c r="I101" s="46"/>
      <c r="J101" s="46"/>
      <c r="K101" s="46"/>
      <c r="L101" s="46"/>
      <c r="M101" s="46"/>
      <c r="N101" s="46"/>
      <c r="O101" s="46"/>
      <c r="P101" s="46"/>
      <c r="Q101" s="46"/>
      <c r="R101" s="46"/>
      <c r="S101" s="46"/>
      <c r="T101" s="46"/>
      <c r="U101" s="46"/>
      <c r="V101" s="46"/>
      <c r="W101" s="46"/>
      <c r="X101" s="46"/>
      <c r="Y101" s="46"/>
      <c r="Z101" s="46"/>
    </row>
    <row r="102" spans="9:26" s="29" customFormat="1" ht="12.75">
      <c r="I102" s="46"/>
      <c r="J102" s="46"/>
      <c r="K102" s="46"/>
      <c r="L102" s="46"/>
      <c r="M102" s="46"/>
      <c r="N102" s="46"/>
      <c r="O102" s="46"/>
      <c r="P102" s="46"/>
      <c r="Q102" s="46"/>
      <c r="R102" s="46"/>
      <c r="S102" s="46"/>
      <c r="T102" s="46"/>
      <c r="U102" s="46"/>
      <c r="V102" s="46"/>
      <c r="W102" s="46"/>
      <c r="X102" s="46"/>
      <c r="Y102" s="46"/>
      <c r="Z102" s="46"/>
    </row>
    <row r="103" spans="9:26" s="29" customFormat="1" ht="12.75">
      <c r="I103" s="46"/>
      <c r="J103" s="46"/>
      <c r="K103" s="46"/>
      <c r="L103" s="46"/>
      <c r="M103" s="46"/>
      <c r="N103" s="46"/>
      <c r="O103" s="46"/>
      <c r="P103" s="46"/>
      <c r="Q103" s="46"/>
      <c r="R103" s="46"/>
      <c r="S103" s="46"/>
      <c r="T103" s="46"/>
      <c r="U103" s="46"/>
      <c r="V103" s="46"/>
      <c r="W103" s="46"/>
      <c r="X103" s="46"/>
      <c r="Y103" s="46"/>
      <c r="Z103" s="46"/>
    </row>
    <row r="104" spans="9:26" s="29" customFormat="1" ht="12.75">
      <c r="I104" s="46"/>
      <c r="J104" s="46"/>
      <c r="K104" s="46"/>
      <c r="L104" s="46"/>
      <c r="M104" s="46"/>
      <c r="N104" s="46"/>
      <c r="O104" s="46"/>
      <c r="P104" s="46"/>
      <c r="Q104" s="46"/>
      <c r="R104" s="46"/>
      <c r="S104" s="46"/>
      <c r="T104" s="46"/>
      <c r="U104" s="46"/>
      <c r="V104" s="46"/>
      <c r="W104" s="46"/>
      <c r="X104" s="46"/>
      <c r="Y104" s="46"/>
      <c r="Z104" s="46"/>
    </row>
    <row r="105" spans="9:26" s="29" customFormat="1" ht="12.75">
      <c r="I105" s="46"/>
      <c r="J105" s="46"/>
      <c r="K105" s="46"/>
      <c r="L105" s="46"/>
      <c r="M105" s="46"/>
      <c r="N105" s="46"/>
      <c r="O105" s="46"/>
      <c r="P105" s="46"/>
      <c r="Q105" s="46"/>
      <c r="R105" s="46"/>
      <c r="S105" s="46"/>
      <c r="T105" s="46"/>
      <c r="U105" s="46"/>
      <c r="V105" s="46"/>
      <c r="W105" s="46"/>
      <c r="X105" s="46"/>
      <c r="Y105" s="46"/>
      <c r="Z105" s="46"/>
    </row>
    <row r="106" spans="9:26" s="29" customFormat="1" ht="12.75">
      <c r="I106" s="46"/>
      <c r="J106" s="46"/>
      <c r="K106" s="46"/>
      <c r="L106" s="46"/>
      <c r="M106" s="46"/>
      <c r="N106" s="46"/>
      <c r="O106" s="46"/>
      <c r="P106" s="46"/>
      <c r="Q106" s="46"/>
      <c r="R106" s="46"/>
      <c r="S106" s="46"/>
      <c r="T106" s="46"/>
      <c r="U106" s="46"/>
      <c r="V106" s="46"/>
      <c r="W106" s="46"/>
      <c r="X106" s="46"/>
      <c r="Y106" s="46"/>
      <c r="Z106" s="46"/>
    </row>
    <row r="107" spans="9:26" s="29" customFormat="1" ht="12.75">
      <c r="I107" s="46"/>
      <c r="J107" s="46"/>
      <c r="K107" s="46"/>
      <c r="L107" s="46"/>
      <c r="M107" s="46"/>
      <c r="N107" s="46"/>
      <c r="O107" s="46"/>
      <c r="P107" s="46"/>
      <c r="Q107" s="46"/>
      <c r="R107" s="46"/>
      <c r="S107" s="46"/>
      <c r="T107" s="46"/>
      <c r="U107" s="46"/>
      <c r="V107" s="46"/>
      <c r="W107" s="46"/>
      <c r="X107" s="46"/>
      <c r="Y107" s="46"/>
      <c r="Z107" s="46"/>
    </row>
    <row r="108" spans="9:26" s="29" customFormat="1" ht="12" customHeight="1">
      <c r="I108" s="46"/>
      <c r="J108" s="46"/>
      <c r="K108" s="46"/>
      <c r="L108" s="46"/>
      <c r="M108" s="46"/>
      <c r="N108" s="46"/>
      <c r="O108" s="46"/>
      <c r="P108" s="46"/>
      <c r="Q108" s="46"/>
      <c r="R108" s="46"/>
      <c r="S108" s="46"/>
      <c r="T108" s="46"/>
      <c r="U108" s="46"/>
      <c r="V108" s="46"/>
      <c r="W108" s="46"/>
      <c r="X108" s="46"/>
      <c r="Y108" s="46"/>
      <c r="Z108" s="46"/>
    </row>
    <row r="109" spans="9:26" s="29" customFormat="1" ht="20.25" customHeight="1">
      <c r="I109" s="46"/>
      <c r="J109" s="46"/>
      <c r="K109" s="46"/>
      <c r="L109" s="46"/>
      <c r="M109" s="46"/>
      <c r="N109" s="46"/>
      <c r="O109" s="46"/>
      <c r="P109" s="46"/>
      <c r="Q109" s="46"/>
      <c r="R109" s="46"/>
      <c r="S109" s="46"/>
      <c r="T109" s="46"/>
      <c r="U109" s="46"/>
      <c r="V109" s="46"/>
      <c r="W109" s="46"/>
      <c r="X109" s="46"/>
      <c r="Y109" s="46"/>
      <c r="Z109" s="46"/>
    </row>
    <row r="110" spans="9:26" s="29" customFormat="1" ht="20.25" customHeight="1">
      <c r="I110" s="46"/>
      <c r="J110" s="46"/>
      <c r="K110" s="46"/>
      <c r="L110" s="46"/>
      <c r="M110" s="46"/>
      <c r="N110" s="46"/>
      <c r="O110" s="46"/>
      <c r="P110" s="46"/>
      <c r="Q110" s="46"/>
      <c r="R110" s="46"/>
      <c r="S110" s="46"/>
      <c r="T110" s="46"/>
      <c r="U110" s="46"/>
      <c r="V110" s="46"/>
      <c r="W110" s="46"/>
      <c r="X110" s="46"/>
      <c r="Y110" s="46"/>
      <c r="Z110" s="46"/>
    </row>
    <row r="111" spans="9:26" s="29" customFormat="1" ht="12.75">
      <c r="I111" s="46"/>
      <c r="J111" s="46"/>
      <c r="K111" s="46"/>
      <c r="L111" s="46"/>
      <c r="M111" s="46"/>
      <c r="N111" s="46"/>
      <c r="O111" s="46"/>
      <c r="P111" s="46"/>
      <c r="Q111" s="46"/>
      <c r="R111" s="46"/>
      <c r="S111" s="46"/>
      <c r="T111" s="46"/>
      <c r="U111" s="46"/>
      <c r="V111" s="46"/>
      <c r="W111" s="46"/>
      <c r="X111" s="46"/>
      <c r="Y111" s="46"/>
      <c r="Z111" s="46"/>
    </row>
    <row r="112" spans="9:26" s="29" customFormat="1" ht="87" customHeight="1">
      <c r="I112" s="46"/>
      <c r="J112" s="46"/>
      <c r="K112" s="46"/>
      <c r="L112" s="46"/>
      <c r="M112" s="46"/>
      <c r="N112" s="46"/>
      <c r="O112" s="46"/>
      <c r="P112" s="46"/>
      <c r="Q112" s="46"/>
      <c r="R112" s="46"/>
      <c r="S112" s="46"/>
      <c r="T112" s="46"/>
      <c r="U112" s="46"/>
      <c r="V112" s="46"/>
      <c r="W112" s="46"/>
      <c r="X112" s="46"/>
      <c r="Y112" s="46"/>
      <c r="Z112" s="46"/>
    </row>
    <row r="113" spans="9:26" s="29" customFormat="1" ht="12.75">
      <c r="I113" s="46"/>
      <c r="J113" s="46"/>
      <c r="K113" s="46"/>
      <c r="L113" s="46"/>
      <c r="M113" s="46"/>
      <c r="N113" s="46"/>
      <c r="O113" s="46"/>
      <c r="P113" s="46"/>
      <c r="Q113" s="46"/>
      <c r="R113" s="46"/>
      <c r="S113" s="46"/>
      <c r="T113" s="46"/>
      <c r="U113" s="46"/>
      <c r="V113" s="46"/>
      <c r="W113" s="46"/>
      <c r="X113" s="46"/>
      <c r="Y113" s="46"/>
      <c r="Z113" s="46"/>
    </row>
    <row r="114" spans="9:26" s="29" customFormat="1" ht="12.75">
      <c r="I114" s="46"/>
      <c r="J114" s="46"/>
      <c r="K114" s="46"/>
      <c r="L114" s="46"/>
      <c r="M114" s="46"/>
      <c r="N114" s="46"/>
      <c r="O114" s="46"/>
      <c r="P114" s="46"/>
      <c r="Q114" s="46"/>
      <c r="R114" s="46"/>
      <c r="S114" s="46"/>
      <c r="T114" s="46"/>
      <c r="U114" s="46"/>
      <c r="V114" s="46"/>
      <c r="W114" s="46"/>
      <c r="X114" s="46"/>
      <c r="Y114" s="46"/>
      <c r="Z114" s="46"/>
    </row>
    <row r="115" spans="9:26" s="29" customFormat="1" ht="12.75">
      <c r="I115" s="46"/>
      <c r="J115" s="46"/>
      <c r="K115" s="46"/>
      <c r="L115" s="46"/>
      <c r="M115" s="46"/>
      <c r="N115" s="46"/>
      <c r="O115" s="46"/>
      <c r="P115" s="46"/>
      <c r="Q115" s="46"/>
      <c r="R115" s="46"/>
      <c r="S115" s="46"/>
      <c r="T115" s="46"/>
      <c r="U115" s="46"/>
      <c r="V115" s="46"/>
      <c r="W115" s="46"/>
      <c r="X115" s="46"/>
      <c r="Y115" s="46"/>
      <c r="Z115" s="46"/>
    </row>
    <row r="116" spans="9:26" s="29" customFormat="1" ht="12.75">
      <c r="I116" s="46"/>
      <c r="J116" s="46"/>
      <c r="K116" s="46"/>
      <c r="L116" s="46"/>
      <c r="M116" s="46"/>
      <c r="N116" s="46"/>
      <c r="O116" s="46"/>
      <c r="P116" s="46"/>
      <c r="Q116" s="46"/>
      <c r="R116" s="46"/>
      <c r="S116" s="46"/>
      <c r="T116" s="46"/>
      <c r="U116" s="46"/>
      <c r="V116" s="46"/>
      <c r="W116" s="46"/>
      <c r="X116" s="46"/>
      <c r="Y116" s="46"/>
      <c r="Z116" s="46"/>
    </row>
    <row r="117" spans="9:26" s="29" customFormat="1" ht="12.75">
      <c r="I117" s="46"/>
      <c r="J117" s="46"/>
      <c r="K117" s="46"/>
      <c r="L117" s="46"/>
      <c r="M117" s="46"/>
      <c r="N117" s="46"/>
      <c r="O117" s="46"/>
      <c r="P117" s="46"/>
      <c r="Q117" s="46"/>
      <c r="R117" s="46"/>
      <c r="S117" s="46"/>
      <c r="T117" s="46"/>
      <c r="U117" s="46"/>
      <c r="V117" s="46"/>
      <c r="W117" s="46"/>
      <c r="X117" s="46"/>
      <c r="Y117" s="46"/>
      <c r="Z117" s="46"/>
    </row>
    <row r="118" spans="9:26" s="29" customFormat="1" ht="12.75">
      <c r="I118" s="46"/>
      <c r="J118" s="46"/>
      <c r="K118" s="46"/>
      <c r="L118" s="46"/>
      <c r="M118" s="46"/>
      <c r="N118" s="46"/>
      <c r="O118" s="46"/>
      <c r="P118" s="46"/>
      <c r="Q118" s="46"/>
      <c r="R118" s="46"/>
      <c r="S118" s="46"/>
      <c r="T118" s="46"/>
      <c r="U118" s="46"/>
      <c r="V118" s="46"/>
      <c r="W118" s="46"/>
      <c r="X118" s="46"/>
      <c r="Y118" s="46"/>
      <c r="Z118" s="46"/>
    </row>
    <row r="119" spans="9:26" s="29" customFormat="1" ht="12.75">
      <c r="I119" s="46"/>
      <c r="J119" s="46"/>
      <c r="K119" s="46"/>
      <c r="L119" s="46"/>
      <c r="M119" s="46"/>
      <c r="N119" s="46"/>
      <c r="O119" s="46"/>
      <c r="P119" s="46"/>
      <c r="Q119" s="46"/>
      <c r="R119" s="46"/>
      <c r="S119" s="46"/>
      <c r="T119" s="46"/>
      <c r="U119" s="46"/>
      <c r="V119" s="46"/>
      <c r="W119" s="46"/>
      <c r="X119" s="46"/>
      <c r="Y119" s="46"/>
      <c r="Z119" s="46"/>
    </row>
    <row r="120" spans="9:26" s="29" customFormat="1" ht="12.75">
      <c r="I120" s="46"/>
      <c r="J120" s="46"/>
      <c r="K120" s="46"/>
      <c r="L120" s="46"/>
      <c r="M120" s="46"/>
      <c r="N120" s="46"/>
      <c r="O120" s="46"/>
      <c r="P120" s="46"/>
      <c r="Q120" s="46"/>
      <c r="R120" s="46"/>
      <c r="S120" s="46"/>
      <c r="T120" s="46"/>
      <c r="U120" s="46"/>
      <c r="V120" s="46"/>
      <c r="W120" s="46"/>
      <c r="X120" s="46"/>
      <c r="Y120" s="46"/>
      <c r="Z120" s="46"/>
    </row>
    <row r="121" spans="9:26" s="29" customFormat="1" ht="12.75">
      <c r="I121" s="46"/>
      <c r="J121" s="46"/>
      <c r="K121" s="46"/>
      <c r="L121" s="46"/>
      <c r="M121" s="46"/>
      <c r="N121" s="46"/>
      <c r="O121" s="46"/>
      <c r="P121" s="46"/>
      <c r="Q121" s="46"/>
      <c r="R121" s="46"/>
      <c r="S121" s="46"/>
      <c r="T121" s="46"/>
      <c r="U121" s="46"/>
      <c r="V121" s="46"/>
      <c r="W121" s="46"/>
      <c r="X121" s="46"/>
      <c r="Y121" s="46"/>
      <c r="Z121" s="46"/>
    </row>
    <row r="122" spans="9:26" s="29" customFormat="1" ht="12.75">
      <c r="I122" s="46"/>
      <c r="J122" s="46"/>
      <c r="K122" s="46"/>
      <c r="L122" s="46"/>
      <c r="M122" s="46"/>
      <c r="N122" s="46"/>
      <c r="O122" s="46"/>
      <c r="P122" s="46"/>
      <c r="Q122" s="46"/>
      <c r="R122" s="46"/>
      <c r="S122" s="46"/>
      <c r="T122" s="46"/>
      <c r="U122" s="46"/>
      <c r="V122" s="46"/>
      <c r="W122" s="46"/>
      <c r="X122" s="46"/>
      <c r="Y122" s="46"/>
      <c r="Z122" s="46"/>
    </row>
    <row r="123" spans="9:26" s="29" customFormat="1" ht="12.75">
      <c r="I123" s="46"/>
      <c r="J123" s="46"/>
      <c r="K123" s="46"/>
      <c r="L123" s="46"/>
      <c r="M123" s="46"/>
      <c r="N123" s="46"/>
      <c r="O123" s="46"/>
      <c r="P123" s="46"/>
      <c r="Q123" s="46"/>
      <c r="R123" s="46"/>
      <c r="S123" s="46"/>
      <c r="T123" s="46"/>
      <c r="U123" s="46"/>
      <c r="V123" s="46"/>
      <c r="W123" s="46"/>
      <c r="X123" s="46"/>
      <c r="Y123" s="46"/>
      <c r="Z123" s="46"/>
    </row>
  </sheetData>
  <sheetProtection password="A61E" sheet="1" objects="1" scenarios="1"/>
  <mergeCells count="7">
    <mergeCell ref="A31:C31"/>
    <mergeCell ref="A27:D27"/>
    <mergeCell ref="A1:H1"/>
    <mergeCell ref="A2:H2"/>
    <mergeCell ref="A8:D8"/>
    <mergeCell ref="A14:C14"/>
    <mergeCell ref="A9:D9"/>
  </mergeCells>
  <dataValidations count="1">
    <dataValidation allowBlank="1" showInputMessage="1" showErrorMessage="1" prompt="DOE's sales tax figure will automatically appear in this box.  You can also enter your most recent estimate, if it differs from the department's figure." sqref="F27"/>
  </dataValidations>
  <hyperlinks>
    <hyperlink ref="A9" r:id="rId1" display="(See Attachment D, Chart of Accounts, for 2004-2005 ASRFIN)"/>
  </hyperlinks>
  <printOptions horizontalCentered="1"/>
  <pageMargins left="0.34" right="0.31" top="0.5" bottom="0.5" header="0.5" footer="0.5"/>
  <pageSetup horizontalDpi="600" verticalDpi="600" orientation="landscape" scale="75" r:id="rId4"/>
  <legacyDrawing r:id="rId3"/>
</worksheet>
</file>

<file path=xl/worksheets/sheet4.xml><?xml version="1.0" encoding="utf-8"?>
<worksheet xmlns="http://schemas.openxmlformats.org/spreadsheetml/2006/main" xmlns:r="http://schemas.openxmlformats.org/officeDocument/2006/relationships">
  <sheetPr codeName="Sheet14">
    <tabColor indexed="22"/>
  </sheetPr>
  <dimension ref="A1:Z122"/>
  <sheetViews>
    <sheetView zoomScale="70" zoomScaleNormal="70" workbookViewId="0" topLeftCell="A1">
      <pane ySplit="6" topLeftCell="BM7" activePane="bottomLeft" state="frozen"/>
      <selection pane="topLeft" activeCell="A1" sqref="A1"/>
      <selection pane="bottomLeft" activeCell="A1" sqref="A1:H1"/>
    </sheetView>
  </sheetViews>
  <sheetFormatPr defaultColWidth="9.140625" defaultRowHeight="12.75"/>
  <cols>
    <col min="1" max="1" width="11.00390625" style="2" customWidth="1"/>
    <col min="2" max="2" width="32.8515625" style="2" customWidth="1"/>
    <col min="3" max="3" width="11.28125" style="2" customWidth="1"/>
    <col min="4" max="5" width="20.7109375" style="2" customWidth="1"/>
    <col min="6" max="6" width="22.28125" style="2" customWidth="1"/>
    <col min="7" max="7" width="2.57421875" style="2" customWidth="1"/>
    <col min="8" max="8" width="26.28125" style="2" customWidth="1"/>
    <col min="9" max="9" width="29.28125" style="45" customWidth="1"/>
    <col min="10" max="26" width="9.140625" style="45" customWidth="1"/>
    <col min="27" max="16384" width="9.140625" style="1" customWidth="1"/>
  </cols>
  <sheetData>
    <row r="1" spans="1:8" ht="25.5" customHeight="1">
      <c r="A1" s="257" t="s">
        <v>140</v>
      </c>
      <c r="B1" s="258"/>
      <c r="C1" s="258"/>
      <c r="D1" s="258"/>
      <c r="E1" s="258"/>
      <c r="F1" s="258"/>
      <c r="G1" s="258"/>
      <c r="H1" s="259"/>
    </row>
    <row r="2" spans="1:8" ht="18.75" thickBot="1">
      <c r="A2" s="260" t="s">
        <v>646</v>
      </c>
      <c r="B2" s="261"/>
      <c r="C2" s="261"/>
      <c r="D2" s="261"/>
      <c r="E2" s="261"/>
      <c r="F2" s="261"/>
      <c r="G2" s="261"/>
      <c r="H2" s="262"/>
    </row>
    <row r="3" spans="1:8" ht="15">
      <c r="A3" s="47"/>
      <c r="B3" s="48"/>
      <c r="C3" s="48"/>
      <c r="D3" s="48"/>
      <c r="E3" s="48"/>
      <c r="F3" s="48"/>
      <c r="G3" s="48"/>
      <c r="H3" s="49"/>
    </row>
    <row r="4" spans="1:8" ht="15.75">
      <c r="A4" s="50" t="s">
        <v>0</v>
      </c>
      <c r="B4" s="51" t="s">
        <v>1</v>
      </c>
      <c r="C4" s="48"/>
      <c r="D4" s="48"/>
      <c r="E4" s="48"/>
      <c r="F4" s="48"/>
      <c r="G4" s="48"/>
      <c r="H4" s="52"/>
    </row>
    <row r="5" spans="1:8" ht="21.75" customHeight="1">
      <c r="A5" s="90">
        <f>'Fiscal Year 2008 Worksheet'!A5</f>
        <v>0</v>
      </c>
      <c r="B5" s="91">
        <f>'Fiscal Year 2008 Worksheet'!B5</f>
        <v>0</v>
      </c>
      <c r="C5" s="3"/>
      <c r="D5" s="48"/>
      <c r="E5" s="48"/>
      <c r="F5" s="48"/>
      <c r="G5" s="48"/>
      <c r="H5" s="52"/>
    </row>
    <row r="6" spans="1:8" ht="10.5" customHeight="1">
      <c r="A6" s="47"/>
      <c r="B6" s="48"/>
      <c r="C6" s="48"/>
      <c r="D6" s="48"/>
      <c r="E6" s="48"/>
      <c r="F6" s="48"/>
      <c r="G6" s="48"/>
      <c r="H6" s="52"/>
    </row>
    <row r="7" spans="1:8" ht="10.5" customHeight="1">
      <c r="A7" s="47"/>
      <c r="B7" s="48"/>
      <c r="C7" s="48"/>
      <c r="D7" s="48"/>
      <c r="E7" s="48"/>
      <c r="F7" s="48"/>
      <c r="G7" s="48"/>
      <c r="H7" s="52"/>
    </row>
    <row r="8" spans="1:10" ht="15" customHeight="1">
      <c r="A8" s="249" t="s">
        <v>440</v>
      </c>
      <c r="B8" s="240"/>
      <c r="C8" s="240"/>
      <c r="D8" s="240"/>
      <c r="E8" s="48"/>
      <c r="F8" s="94"/>
      <c r="G8" s="48"/>
      <c r="H8" s="53"/>
      <c r="I8" s="65"/>
      <c r="J8" s="65"/>
    </row>
    <row r="9" spans="1:10" ht="16.5" customHeight="1">
      <c r="A9" s="256" t="s">
        <v>648</v>
      </c>
      <c r="B9" s="248"/>
      <c r="C9" s="248"/>
      <c r="D9" s="248"/>
      <c r="E9" s="147"/>
      <c r="F9" s="48"/>
      <c r="G9" s="48"/>
      <c r="H9" s="53"/>
      <c r="I9" s="66"/>
      <c r="J9" s="67"/>
    </row>
    <row r="10" spans="1:10" ht="15">
      <c r="A10" s="85" t="s">
        <v>609</v>
      </c>
      <c r="B10" s="163"/>
      <c r="C10" s="163"/>
      <c r="D10" s="163"/>
      <c r="E10" s="78"/>
      <c r="F10" s="30"/>
      <c r="G10" s="48"/>
      <c r="H10" s="53"/>
      <c r="I10" s="65"/>
      <c r="J10" s="65"/>
    </row>
    <row r="11" spans="1:10" ht="6.75" customHeight="1" thickBot="1">
      <c r="A11" s="79"/>
      <c r="B11" s="80"/>
      <c r="C11" s="80"/>
      <c r="D11" s="80"/>
      <c r="E11" s="78"/>
      <c r="F11" s="83"/>
      <c r="G11" s="48"/>
      <c r="H11" s="53"/>
      <c r="I11" s="65"/>
      <c r="J11" s="65"/>
    </row>
    <row r="12" spans="1:10" ht="16.5" thickBot="1">
      <c r="A12" s="77" t="s">
        <v>435</v>
      </c>
      <c r="B12" s="56"/>
      <c r="C12" s="80"/>
      <c r="D12" s="80"/>
      <c r="E12" s="78"/>
      <c r="G12" s="48"/>
      <c r="H12" s="93">
        <f>SUM(F8-F10)</f>
        <v>0</v>
      </c>
      <c r="I12" s="65"/>
      <c r="J12" s="65"/>
    </row>
    <row r="13" spans="1:10" ht="21.75" customHeight="1">
      <c r="A13" s="47"/>
      <c r="B13" s="48"/>
      <c r="C13" s="48"/>
      <c r="D13" s="48"/>
      <c r="E13" s="48"/>
      <c r="F13" s="48"/>
      <c r="G13" s="48"/>
      <c r="H13" s="53"/>
      <c r="I13" s="65"/>
      <c r="J13" s="65"/>
    </row>
    <row r="14" spans="1:10" ht="15">
      <c r="A14" s="249" t="s">
        <v>438</v>
      </c>
      <c r="B14" s="240"/>
      <c r="C14" s="240"/>
      <c r="D14" s="48"/>
      <c r="E14" s="54"/>
      <c r="F14" s="30"/>
      <c r="G14" s="48"/>
      <c r="H14" s="70"/>
      <c r="I14" s="65"/>
      <c r="J14" s="65"/>
    </row>
    <row r="15" spans="1:10" ht="6.75" customHeight="1">
      <c r="A15" s="47"/>
      <c r="B15" s="54"/>
      <c r="C15" s="54"/>
      <c r="D15" s="54"/>
      <c r="E15" s="54"/>
      <c r="F15" s="27"/>
      <c r="G15" s="48"/>
      <c r="H15" s="55"/>
      <c r="I15" s="65"/>
      <c r="J15" s="65"/>
    </row>
    <row r="16" spans="1:10" ht="15">
      <c r="A16" s="85" t="s">
        <v>2</v>
      </c>
      <c r="B16" s="48"/>
      <c r="C16" s="48"/>
      <c r="D16" s="48"/>
      <c r="E16" s="48"/>
      <c r="F16" s="31"/>
      <c r="G16" s="48"/>
      <c r="H16" s="55"/>
      <c r="I16" s="65"/>
      <c r="J16" s="65"/>
    </row>
    <row r="17" spans="1:10" ht="6.75" customHeight="1">
      <c r="A17" s="86"/>
      <c r="B17" s="48"/>
      <c r="C17" s="48"/>
      <c r="D17" s="48"/>
      <c r="E17" s="48"/>
      <c r="F17" s="54"/>
      <c r="G17" s="48"/>
      <c r="H17" s="55"/>
      <c r="I17" s="65"/>
      <c r="J17" s="65"/>
    </row>
    <row r="18" spans="1:10" ht="15">
      <c r="A18" s="85" t="s">
        <v>3</v>
      </c>
      <c r="B18" s="48"/>
      <c r="C18" s="48"/>
      <c r="D18" s="48"/>
      <c r="E18" s="48"/>
      <c r="F18" s="30"/>
      <c r="G18" s="48"/>
      <c r="H18" s="55"/>
      <c r="I18" s="65"/>
      <c r="J18" s="65"/>
    </row>
    <row r="19" spans="1:10" ht="6.75" customHeight="1">
      <c r="A19" s="86"/>
      <c r="B19" s="48"/>
      <c r="C19" s="48"/>
      <c r="D19" s="48"/>
      <c r="E19" s="48"/>
      <c r="F19" s="54"/>
      <c r="G19" s="48"/>
      <c r="H19" s="55"/>
      <c r="I19" s="65"/>
      <c r="J19" s="65"/>
    </row>
    <row r="20" spans="1:10" ht="15">
      <c r="A20" s="166" t="s">
        <v>610</v>
      </c>
      <c r="B20" s="48"/>
      <c r="C20" s="48"/>
      <c r="D20" s="48"/>
      <c r="E20" s="48"/>
      <c r="F20" s="54"/>
      <c r="G20" s="48"/>
      <c r="H20" s="55"/>
      <c r="I20" s="65"/>
      <c r="J20" s="65"/>
    </row>
    <row r="21" spans="1:10" ht="16.5" customHeight="1">
      <c r="A21" s="166" t="s">
        <v>623</v>
      </c>
      <c r="B21" s="165"/>
      <c r="C21" s="165"/>
      <c r="D21" s="165"/>
      <c r="E21" s="164"/>
      <c r="F21" s="30"/>
      <c r="G21" s="48"/>
      <c r="H21" s="55"/>
      <c r="I21" s="66"/>
      <c r="J21" s="67"/>
    </row>
    <row r="22" spans="1:10" ht="3.75" customHeight="1">
      <c r="A22" s="166"/>
      <c r="B22" s="165"/>
      <c r="C22" s="165"/>
      <c r="D22" s="165"/>
      <c r="E22" s="167"/>
      <c r="F22" s="26"/>
      <c r="G22" s="48"/>
      <c r="H22" s="55"/>
      <c r="I22" s="66"/>
      <c r="J22" s="67"/>
    </row>
    <row r="23" spans="1:10" ht="15">
      <c r="A23" s="77" t="s">
        <v>4</v>
      </c>
      <c r="B23" s="48"/>
      <c r="C23" s="48"/>
      <c r="D23" s="48"/>
      <c r="E23" s="48"/>
      <c r="F23" s="6">
        <f>F14+F16-F18-F21</f>
        <v>0</v>
      </c>
      <c r="G23" s="48"/>
      <c r="H23" s="55"/>
      <c r="I23" s="65"/>
      <c r="J23" s="65"/>
    </row>
    <row r="24" spans="1:10" ht="6.75" customHeight="1">
      <c r="A24" s="47"/>
      <c r="B24" s="48"/>
      <c r="C24" s="48"/>
      <c r="D24" s="48"/>
      <c r="E24" s="54"/>
      <c r="F24" s="48"/>
      <c r="G24" s="48"/>
      <c r="H24" s="53"/>
      <c r="I24" s="65"/>
      <c r="J24" s="65"/>
    </row>
    <row r="25" spans="1:10" ht="15.75">
      <c r="A25" s="87" t="s">
        <v>5</v>
      </c>
      <c r="B25" s="56"/>
      <c r="C25" s="48"/>
      <c r="D25" s="48"/>
      <c r="E25" s="54"/>
      <c r="F25" s="48"/>
      <c r="G25" s="48"/>
      <c r="H25" s="211" t="str">
        <f>IF(ISNUMBER(F51),ROUND(F23/$F$51,0),"Enter ADM in Cell F51")</f>
        <v>Enter ADM in Cell F51</v>
      </c>
      <c r="I25" s="65"/>
      <c r="J25" s="65"/>
    </row>
    <row r="26" spans="1:10" ht="21.75" customHeight="1">
      <c r="A26" s="47"/>
      <c r="B26" s="48"/>
      <c r="C26" s="48"/>
      <c r="D26" s="48"/>
      <c r="E26" s="54"/>
      <c r="F26" s="48"/>
      <c r="G26" s="48"/>
      <c r="H26" s="52"/>
      <c r="I26" s="66"/>
      <c r="J26" s="67"/>
    </row>
    <row r="27" spans="1:10" ht="15">
      <c r="A27" s="249" t="s">
        <v>607</v>
      </c>
      <c r="B27" s="240"/>
      <c r="C27" s="240"/>
      <c r="D27" s="240"/>
      <c r="E27" s="82"/>
      <c r="F27" s="32" t="e">
        <f>VLOOKUP($A$5,'Source Data'!A2:T137,20,FALSE)</f>
        <v>#N/A</v>
      </c>
      <c r="G27" s="48"/>
      <c r="H27" s="52"/>
      <c r="I27" s="65"/>
      <c r="J27" s="65"/>
    </row>
    <row r="28" spans="1:10" ht="6.75" customHeight="1">
      <c r="A28" s="47"/>
      <c r="B28" s="48"/>
      <c r="C28" s="48"/>
      <c r="D28" s="48"/>
      <c r="E28" s="54"/>
      <c r="F28" s="48"/>
      <c r="G28" s="48"/>
      <c r="H28" s="52"/>
      <c r="I28" s="65"/>
      <c r="J28" s="65"/>
    </row>
    <row r="29" spans="1:10" ht="15.75">
      <c r="A29" s="87" t="s">
        <v>6</v>
      </c>
      <c r="B29" s="56"/>
      <c r="C29" s="48"/>
      <c r="D29" s="48"/>
      <c r="E29" s="54"/>
      <c r="F29" s="48"/>
      <c r="G29" s="48"/>
      <c r="H29" s="211" t="str">
        <f>IF(ISNUMBER(F51),(ROUND(F27/$F$51,0)),"Enter ADM in Cell F51")</f>
        <v>Enter ADM in Cell F51</v>
      </c>
      <c r="I29" s="65"/>
      <c r="J29" s="65"/>
    </row>
    <row r="30" spans="1:10" ht="21.75" customHeight="1">
      <c r="A30" s="47"/>
      <c r="B30" s="48"/>
      <c r="C30" s="48"/>
      <c r="D30" s="48"/>
      <c r="E30" s="54"/>
      <c r="F30" s="48"/>
      <c r="G30" s="48"/>
      <c r="H30" s="52"/>
      <c r="I30" s="65"/>
      <c r="J30" s="65"/>
    </row>
    <row r="31" spans="1:10" ht="15">
      <c r="A31" s="249" t="s">
        <v>439</v>
      </c>
      <c r="B31" s="240"/>
      <c r="C31" s="240"/>
      <c r="D31" s="48"/>
      <c r="E31" s="54"/>
      <c r="F31" s="30"/>
      <c r="G31" s="48"/>
      <c r="H31" s="52"/>
      <c r="I31" s="65"/>
      <c r="J31" s="65"/>
    </row>
    <row r="32" spans="1:10" ht="6.75" customHeight="1">
      <c r="A32" s="57"/>
      <c r="B32" s="58"/>
      <c r="C32" s="58"/>
      <c r="D32" s="58"/>
      <c r="E32" s="58"/>
      <c r="F32" s="54"/>
      <c r="G32" s="58"/>
      <c r="H32" s="59"/>
      <c r="I32" s="65"/>
      <c r="J32" s="65"/>
    </row>
    <row r="33" spans="1:10" ht="15">
      <c r="A33" s="85" t="s">
        <v>7</v>
      </c>
      <c r="B33" s="48"/>
      <c r="C33" s="58"/>
      <c r="D33" s="58"/>
      <c r="E33" s="58"/>
      <c r="F33" s="31"/>
      <c r="G33" s="58"/>
      <c r="H33" s="59"/>
      <c r="I33" s="65"/>
      <c r="J33" s="65"/>
    </row>
    <row r="34" spans="1:10" ht="6.75" customHeight="1">
      <c r="A34" s="85"/>
      <c r="B34" s="48"/>
      <c r="C34" s="58"/>
      <c r="D34" s="58"/>
      <c r="E34" s="58"/>
      <c r="F34" s="54"/>
      <c r="G34" s="58"/>
      <c r="H34" s="59"/>
      <c r="I34" s="65"/>
      <c r="J34" s="65"/>
    </row>
    <row r="35" spans="1:10" ht="15">
      <c r="A35" s="85" t="s">
        <v>8</v>
      </c>
      <c r="B35" s="48"/>
      <c r="C35" s="58"/>
      <c r="D35" s="58"/>
      <c r="E35" s="58"/>
      <c r="F35" s="30"/>
      <c r="G35" s="58"/>
      <c r="H35" s="59"/>
      <c r="I35" s="65"/>
      <c r="J35" s="65"/>
    </row>
    <row r="36" spans="1:10" ht="6.75" customHeight="1">
      <c r="A36" s="85"/>
      <c r="B36" s="48"/>
      <c r="C36" s="58"/>
      <c r="D36" s="58"/>
      <c r="E36" s="58"/>
      <c r="F36" s="54"/>
      <c r="G36" s="58"/>
      <c r="H36" s="59"/>
      <c r="I36" s="65"/>
      <c r="J36" s="65"/>
    </row>
    <row r="37" spans="1:10" ht="15">
      <c r="A37" s="85" t="s">
        <v>614</v>
      </c>
      <c r="B37" s="48"/>
      <c r="C37" s="58"/>
      <c r="D37" s="58"/>
      <c r="E37" s="58"/>
      <c r="F37" s="30"/>
      <c r="G37" s="58"/>
      <c r="H37" s="59"/>
      <c r="I37" s="65"/>
      <c r="J37" s="65"/>
    </row>
    <row r="38" spans="1:10" ht="6.75" customHeight="1">
      <c r="A38" s="47"/>
      <c r="B38" s="48"/>
      <c r="C38" s="58"/>
      <c r="D38" s="58"/>
      <c r="E38" s="58"/>
      <c r="F38" s="58"/>
      <c r="G38" s="58"/>
      <c r="H38" s="59"/>
      <c r="I38" s="66"/>
      <c r="J38" s="67"/>
    </row>
    <row r="39" spans="1:10" ht="15">
      <c r="A39" s="77" t="s">
        <v>437</v>
      </c>
      <c r="B39" s="48"/>
      <c r="C39" s="58"/>
      <c r="D39" s="58"/>
      <c r="E39" s="58"/>
      <c r="F39" s="6">
        <f>F31+F33-F35-F37</f>
        <v>0</v>
      </c>
      <c r="G39" s="58"/>
      <c r="H39" s="59"/>
      <c r="I39" s="65"/>
      <c r="J39" s="65"/>
    </row>
    <row r="40" spans="1:10" ht="6.75" customHeight="1">
      <c r="A40" s="47"/>
      <c r="B40" s="48"/>
      <c r="C40" s="58"/>
      <c r="D40" s="58"/>
      <c r="E40" s="58"/>
      <c r="F40" s="58"/>
      <c r="G40" s="58"/>
      <c r="H40" s="59"/>
      <c r="I40" s="65"/>
      <c r="J40" s="65"/>
    </row>
    <row r="41" spans="1:10" ht="15.75">
      <c r="A41" s="87" t="s">
        <v>436</v>
      </c>
      <c r="B41" s="56"/>
      <c r="C41" s="58"/>
      <c r="D41" s="58"/>
      <c r="E41" s="58"/>
      <c r="F41" s="58"/>
      <c r="G41" s="58"/>
      <c r="H41" s="211" t="str">
        <f>IF(ISNUMBER(F51),(ROUND(F39/$F$51,0)),"Enter ADM in Cell F51")</f>
        <v>Enter ADM in Cell F51</v>
      </c>
      <c r="I41" s="65"/>
      <c r="J41" s="65"/>
    </row>
    <row r="42" spans="1:10" ht="21.75" customHeight="1">
      <c r="A42" s="57"/>
      <c r="B42" s="58"/>
      <c r="C42" s="58"/>
      <c r="D42" s="58"/>
      <c r="E42" s="58"/>
      <c r="F42" s="58"/>
      <c r="G42" s="58"/>
      <c r="H42" s="59"/>
      <c r="I42" s="66"/>
      <c r="J42" s="67"/>
    </row>
    <row r="43" spans="1:10" ht="15">
      <c r="A43" s="47" t="s">
        <v>283</v>
      </c>
      <c r="B43" s="58"/>
      <c r="C43" s="58"/>
      <c r="D43" s="58"/>
      <c r="E43" s="58"/>
      <c r="F43" s="6" t="e">
        <f>H12-F23-F27-F39</f>
        <v>#N/A</v>
      </c>
      <c r="G43" s="58"/>
      <c r="H43" s="59"/>
      <c r="I43" s="65"/>
      <c r="J43" s="65"/>
    </row>
    <row r="44" spans="1:10" ht="6.75" customHeight="1">
      <c r="A44" s="57"/>
      <c r="B44" s="58"/>
      <c r="C44" s="58"/>
      <c r="D44" s="58"/>
      <c r="E44" s="58"/>
      <c r="F44" s="58"/>
      <c r="G44" s="58"/>
      <c r="H44" s="59"/>
      <c r="I44" s="65"/>
      <c r="J44" s="65"/>
    </row>
    <row r="45" spans="1:10" ht="15.75">
      <c r="A45" s="87" t="s">
        <v>141</v>
      </c>
      <c r="B45" s="56"/>
      <c r="C45" s="58"/>
      <c r="D45" s="58"/>
      <c r="E45" s="58"/>
      <c r="F45" s="58"/>
      <c r="G45" s="58"/>
      <c r="H45" s="211" t="str">
        <f>IF(ISNUMBER(F51),(ROUND(F43/$F$51,0)),"Enter ADM in Cell F51")</f>
        <v>Enter ADM in Cell F51</v>
      </c>
      <c r="I45" s="65"/>
      <c r="J45" s="65"/>
    </row>
    <row r="46" spans="1:10" ht="21.75" customHeight="1">
      <c r="A46" s="57"/>
      <c r="B46" s="58"/>
      <c r="C46" s="58"/>
      <c r="D46" s="58"/>
      <c r="E46" s="58"/>
      <c r="F46" s="58"/>
      <c r="G46" s="58"/>
      <c r="H46" s="59"/>
      <c r="I46" s="66"/>
      <c r="J46" s="67"/>
    </row>
    <row r="47" spans="1:10" ht="15">
      <c r="A47" s="47" t="s">
        <v>9</v>
      </c>
      <c r="B47" s="58"/>
      <c r="C47" s="58"/>
      <c r="D47" s="58"/>
      <c r="E47" s="58"/>
      <c r="F47" s="88">
        <f>H12</f>
        <v>0</v>
      </c>
      <c r="G47" s="58"/>
      <c r="H47" s="59"/>
      <c r="I47" s="65"/>
      <c r="J47" s="65"/>
    </row>
    <row r="48" spans="1:10" ht="6.75" customHeight="1">
      <c r="A48" s="57"/>
      <c r="B48" s="58"/>
      <c r="C48" s="58"/>
      <c r="D48" s="58"/>
      <c r="E48" s="58"/>
      <c r="F48" s="58"/>
      <c r="G48" s="58"/>
      <c r="H48" s="59"/>
      <c r="I48" s="65"/>
      <c r="J48" s="65"/>
    </row>
    <row r="49" spans="1:10" ht="15.75">
      <c r="A49" s="87" t="s">
        <v>10</v>
      </c>
      <c r="B49" s="56"/>
      <c r="C49" s="58"/>
      <c r="D49" s="58"/>
      <c r="E49" s="58"/>
      <c r="F49" s="58"/>
      <c r="G49" s="58"/>
      <c r="H49" s="211" t="str">
        <f>IF(ISNUMBER(F51),(ROUND(F47/$F$51,0)),"Enter ADM in Cell F51")</f>
        <v>Enter ADM in Cell F51</v>
      </c>
      <c r="I49" s="65"/>
      <c r="J49" s="65"/>
    </row>
    <row r="50" spans="1:10" ht="21.75" customHeight="1">
      <c r="A50" s="57"/>
      <c r="B50" s="58"/>
      <c r="C50" s="58"/>
      <c r="D50" s="58"/>
      <c r="E50" s="58"/>
      <c r="F50" s="58"/>
      <c r="G50" s="58"/>
      <c r="H50" s="59"/>
      <c r="I50" s="65"/>
      <c r="J50" s="65"/>
    </row>
    <row r="51" spans="1:10" ht="15.75">
      <c r="A51" s="60" t="s">
        <v>284</v>
      </c>
      <c r="B51" s="58"/>
      <c r="C51" s="58"/>
      <c r="D51" s="58"/>
      <c r="E51" s="58"/>
      <c r="F51" s="4"/>
      <c r="G51" s="58"/>
      <c r="H51" s="52"/>
      <c r="I51" s="65"/>
      <c r="J51" s="65"/>
    </row>
    <row r="52" spans="1:10" ht="15.75" thickBot="1">
      <c r="A52" s="61"/>
      <c r="B52" s="62"/>
      <c r="C52" s="62"/>
      <c r="D52" s="62"/>
      <c r="E52" s="62"/>
      <c r="F52" s="62"/>
      <c r="G52" s="62"/>
      <c r="H52" s="63"/>
      <c r="I52" s="65"/>
      <c r="J52" s="65"/>
    </row>
    <row r="53" spans="1:8" ht="15">
      <c r="A53" s="46"/>
      <c r="B53" s="46"/>
      <c r="C53" s="46"/>
      <c r="D53" s="46"/>
      <c r="E53" s="46"/>
      <c r="F53" s="46"/>
      <c r="G53" s="46"/>
      <c r="H53" s="46"/>
    </row>
    <row r="54" spans="1:8" ht="15">
      <c r="A54" s="46"/>
      <c r="B54" s="46"/>
      <c r="C54" s="46"/>
      <c r="D54" s="46"/>
      <c r="E54" s="46"/>
      <c r="F54" s="46"/>
      <c r="G54" s="46"/>
      <c r="H54" s="46"/>
    </row>
    <row r="55" spans="1:8" ht="15">
      <c r="A55" s="46"/>
      <c r="B55" s="46"/>
      <c r="C55" s="46"/>
      <c r="D55" s="46"/>
      <c r="E55" s="46"/>
      <c r="F55" s="46"/>
      <c r="G55" s="46"/>
      <c r="H55" s="46"/>
    </row>
    <row r="56" spans="1:8" ht="15">
      <c r="A56" s="46"/>
      <c r="B56" s="46"/>
      <c r="C56" s="46"/>
      <c r="D56" s="46"/>
      <c r="E56" s="46"/>
      <c r="F56" s="46"/>
      <c r="G56" s="46"/>
      <c r="H56" s="46"/>
    </row>
    <row r="57" spans="1:8" ht="15">
      <c r="A57" s="46"/>
      <c r="B57" s="46"/>
      <c r="C57" s="46"/>
      <c r="D57" s="46"/>
      <c r="E57" s="46"/>
      <c r="F57" s="46"/>
      <c r="G57" s="46"/>
      <c r="H57" s="46"/>
    </row>
    <row r="58" spans="1:8" ht="15">
      <c r="A58" s="46"/>
      <c r="B58" s="46"/>
      <c r="C58" s="46"/>
      <c r="D58" s="46"/>
      <c r="E58" s="46"/>
      <c r="F58" s="46"/>
      <c r="G58" s="46"/>
      <c r="H58" s="46"/>
    </row>
    <row r="59" spans="1:8" ht="15">
      <c r="A59" s="46"/>
      <c r="B59" s="46"/>
      <c r="C59" s="46"/>
      <c r="D59" s="46"/>
      <c r="E59" s="46"/>
      <c r="F59" s="46"/>
      <c r="G59" s="46"/>
      <c r="H59" s="46"/>
    </row>
    <row r="60" spans="1:8" ht="15">
      <c r="A60" s="46"/>
      <c r="B60" s="46"/>
      <c r="C60" s="46"/>
      <c r="D60" s="46"/>
      <c r="E60" s="46"/>
      <c r="F60" s="46"/>
      <c r="G60" s="46"/>
      <c r="H60" s="46"/>
    </row>
    <row r="61" spans="1:8" ht="15">
      <c r="A61" s="46"/>
      <c r="B61" s="46"/>
      <c r="C61" s="46"/>
      <c r="D61" s="46"/>
      <c r="E61" s="46"/>
      <c r="F61" s="46"/>
      <c r="G61" s="46"/>
      <c r="H61" s="46"/>
    </row>
    <row r="62" spans="1:8" ht="15">
      <c r="A62" s="46"/>
      <c r="B62" s="46"/>
      <c r="C62" s="46"/>
      <c r="D62" s="46"/>
      <c r="E62" s="46"/>
      <c r="F62" s="46"/>
      <c r="G62" s="46"/>
      <c r="H62" s="46"/>
    </row>
    <row r="63" spans="1:8" ht="15">
      <c r="A63" s="46"/>
      <c r="B63" s="46"/>
      <c r="C63" s="46"/>
      <c r="D63" s="46"/>
      <c r="E63" s="46"/>
      <c r="F63" s="46"/>
      <c r="G63" s="46"/>
      <c r="H63" s="46"/>
    </row>
    <row r="64" spans="1:8" ht="15">
      <c r="A64" s="46"/>
      <c r="B64" s="46"/>
      <c r="C64" s="46"/>
      <c r="D64" s="46"/>
      <c r="E64" s="46"/>
      <c r="F64" s="46"/>
      <c r="G64" s="46"/>
      <c r="H64" s="46"/>
    </row>
    <row r="65" spans="1:8" ht="15">
      <c r="A65" s="46"/>
      <c r="B65" s="46"/>
      <c r="C65" s="46"/>
      <c r="D65" s="46"/>
      <c r="E65" s="46"/>
      <c r="F65" s="46"/>
      <c r="G65" s="46"/>
      <c r="H65" s="46"/>
    </row>
    <row r="66" spans="1:8" s="45" customFormat="1" ht="15">
      <c r="A66" s="46"/>
      <c r="B66" s="46"/>
      <c r="C66" s="46"/>
      <c r="D66" s="46"/>
      <c r="E66" s="46"/>
      <c r="F66" s="46"/>
      <c r="G66" s="46"/>
      <c r="H66" s="46"/>
    </row>
    <row r="67" spans="1:8" s="45" customFormat="1" ht="15">
      <c r="A67" s="46"/>
      <c r="B67" s="46"/>
      <c r="C67" s="46"/>
      <c r="D67" s="46"/>
      <c r="E67" s="46"/>
      <c r="F67" s="46"/>
      <c r="G67" s="46"/>
      <c r="H67" s="46"/>
    </row>
    <row r="68" spans="1:8" s="45" customFormat="1" ht="15">
      <c r="A68" s="46"/>
      <c r="B68" s="46"/>
      <c r="C68" s="46"/>
      <c r="D68" s="46"/>
      <c r="E68" s="46"/>
      <c r="F68" s="46"/>
      <c r="G68" s="46"/>
      <c r="H68" s="46"/>
    </row>
    <row r="69" spans="1:8" s="45" customFormat="1" ht="15">
      <c r="A69" s="46"/>
      <c r="B69" s="46"/>
      <c r="C69" s="46"/>
      <c r="D69" s="46"/>
      <c r="E69" s="46"/>
      <c r="F69" s="46"/>
      <c r="G69" s="46"/>
      <c r="H69" s="46"/>
    </row>
    <row r="70" spans="1:8" s="45" customFormat="1" ht="52.5" customHeight="1">
      <c r="A70" s="46"/>
      <c r="B70" s="46"/>
      <c r="C70" s="46"/>
      <c r="D70" s="46"/>
      <c r="E70" s="46"/>
      <c r="F70" s="46"/>
      <c r="G70" s="46"/>
      <c r="H70" s="46"/>
    </row>
    <row r="71" spans="1:8" s="45" customFormat="1" ht="15">
      <c r="A71" s="46"/>
      <c r="B71" s="46"/>
      <c r="C71" s="46"/>
      <c r="D71" s="46"/>
      <c r="E71" s="46"/>
      <c r="F71" s="46"/>
      <c r="G71" s="46"/>
      <c r="H71" s="46"/>
    </row>
    <row r="72" spans="1:8" s="45" customFormat="1" ht="31.5" customHeight="1">
      <c r="A72" s="46"/>
      <c r="B72" s="46"/>
      <c r="C72" s="46"/>
      <c r="D72" s="46"/>
      <c r="E72" s="46"/>
      <c r="F72" s="46"/>
      <c r="G72" s="46"/>
      <c r="H72" s="46"/>
    </row>
    <row r="73" spans="1:8" s="45" customFormat="1" ht="15">
      <c r="A73" s="46"/>
      <c r="B73" s="46"/>
      <c r="C73" s="46"/>
      <c r="D73" s="46"/>
      <c r="E73" s="46"/>
      <c r="F73" s="46"/>
      <c r="G73" s="46"/>
      <c r="H73" s="46"/>
    </row>
    <row r="74" spans="1:8" s="45" customFormat="1" ht="15">
      <c r="A74" s="46"/>
      <c r="B74" s="46"/>
      <c r="C74" s="46"/>
      <c r="D74" s="46"/>
      <c r="E74" s="46"/>
      <c r="F74" s="46"/>
      <c r="G74" s="46"/>
      <c r="H74" s="46"/>
    </row>
    <row r="75" spans="1:8" s="45" customFormat="1" ht="15">
      <c r="A75" s="46"/>
      <c r="B75" s="46"/>
      <c r="C75" s="46"/>
      <c r="D75" s="46"/>
      <c r="E75" s="46"/>
      <c r="F75" s="46"/>
      <c r="G75" s="46"/>
      <c r="H75" s="46"/>
    </row>
    <row r="76" spans="1:8" s="45" customFormat="1" ht="15">
      <c r="A76" s="46"/>
      <c r="B76" s="46"/>
      <c r="C76" s="46"/>
      <c r="D76" s="46"/>
      <c r="E76" s="46"/>
      <c r="F76" s="46"/>
      <c r="G76" s="46"/>
      <c r="H76" s="46"/>
    </row>
    <row r="79" spans="9:26" s="29" customFormat="1" ht="12.75">
      <c r="I79" s="46"/>
      <c r="J79" s="46"/>
      <c r="K79" s="46"/>
      <c r="L79" s="46"/>
      <c r="M79" s="46"/>
      <c r="N79" s="46"/>
      <c r="O79" s="46"/>
      <c r="P79" s="46"/>
      <c r="Q79" s="46"/>
      <c r="R79" s="46"/>
      <c r="S79" s="46"/>
      <c r="T79" s="46"/>
      <c r="U79" s="46"/>
      <c r="V79" s="46"/>
      <c r="W79" s="46"/>
      <c r="X79" s="46"/>
      <c r="Y79" s="46"/>
      <c r="Z79" s="46"/>
    </row>
    <row r="80" spans="9:26" s="29" customFormat="1" ht="12.75">
      <c r="I80" s="46"/>
      <c r="J80" s="46"/>
      <c r="K80" s="46"/>
      <c r="L80" s="46"/>
      <c r="M80" s="46"/>
      <c r="N80" s="46"/>
      <c r="O80" s="46"/>
      <c r="P80" s="46"/>
      <c r="Q80" s="46"/>
      <c r="R80" s="46"/>
      <c r="S80" s="46"/>
      <c r="T80" s="46"/>
      <c r="U80" s="46"/>
      <c r="V80" s="46"/>
      <c r="W80" s="46"/>
      <c r="X80" s="46"/>
      <c r="Y80" s="46"/>
      <c r="Z80" s="46"/>
    </row>
    <row r="81" spans="9:26" s="29" customFormat="1" ht="12.75">
      <c r="I81" s="46"/>
      <c r="J81" s="46"/>
      <c r="K81" s="46"/>
      <c r="L81" s="46"/>
      <c r="M81" s="46"/>
      <c r="N81" s="46"/>
      <c r="O81" s="46"/>
      <c r="P81" s="46"/>
      <c r="Q81" s="46"/>
      <c r="R81" s="46"/>
      <c r="S81" s="46"/>
      <c r="T81" s="46"/>
      <c r="U81" s="46"/>
      <c r="V81" s="46"/>
      <c r="W81" s="46"/>
      <c r="X81" s="46"/>
      <c r="Y81" s="46"/>
      <c r="Z81" s="46"/>
    </row>
    <row r="82" spans="9:26" s="29" customFormat="1" ht="12.75">
      <c r="I82" s="46"/>
      <c r="J82" s="46"/>
      <c r="K82" s="46"/>
      <c r="L82" s="46"/>
      <c r="M82" s="46"/>
      <c r="N82" s="46"/>
      <c r="O82" s="46"/>
      <c r="P82" s="46"/>
      <c r="Q82" s="46"/>
      <c r="R82" s="46"/>
      <c r="S82" s="46"/>
      <c r="T82" s="46"/>
      <c r="U82" s="46"/>
      <c r="V82" s="46"/>
      <c r="W82" s="46"/>
      <c r="X82" s="46"/>
      <c r="Y82" s="46"/>
      <c r="Z82" s="46"/>
    </row>
    <row r="83" spans="9:26" s="29" customFormat="1" ht="12.75">
      <c r="I83" s="46"/>
      <c r="J83" s="46"/>
      <c r="K83" s="46"/>
      <c r="L83" s="46"/>
      <c r="M83" s="46"/>
      <c r="N83" s="46"/>
      <c r="O83" s="46"/>
      <c r="P83" s="46"/>
      <c r="Q83" s="46"/>
      <c r="R83" s="46"/>
      <c r="S83" s="46"/>
      <c r="T83" s="46"/>
      <c r="U83" s="46"/>
      <c r="V83" s="46"/>
      <c r="W83" s="46"/>
      <c r="X83" s="46"/>
      <c r="Y83" s="46"/>
      <c r="Z83" s="46"/>
    </row>
    <row r="84" spans="9:26" s="29" customFormat="1" ht="12.75">
      <c r="I84" s="46"/>
      <c r="J84" s="46"/>
      <c r="K84" s="46"/>
      <c r="L84" s="46"/>
      <c r="M84" s="46"/>
      <c r="N84" s="46"/>
      <c r="O84" s="46"/>
      <c r="P84" s="46"/>
      <c r="Q84" s="46"/>
      <c r="R84" s="46"/>
      <c r="S84" s="46"/>
      <c r="T84" s="46"/>
      <c r="U84" s="46"/>
      <c r="V84" s="46"/>
      <c r="W84" s="46"/>
      <c r="X84" s="46"/>
      <c r="Y84" s="46"/>
      <c r="Z84" s="46"/>
    </row>
    <row r="85" spans="9:26" s="29" customFormat="1" ht="12.75">
      <c r="I85" s="46"/>
      <c r="J85" s="46"/>
      <c r="K85" s="46"/>
      <c r="L85" s="46"/>
      <c r="M85" s="46"/>
      <c r="N85" s="46"/>
      <c r="O85" s="46"/>
      <c r="P85" s="46"/>
      <c r="Q85" s="46"/>
      <c r="R85" s="46"/>
      <c r="S85" s="46"/>
      <c r="T85" s="46"/>
      <c r="U85" s="46"/>
      <c r="V85" s="46"/>
      <c r="W85" s="46"/>
      <c r="X85" s="46"/>
      <c r="Y85" s="46"/>
      <c r="Z85" s="46"/>
    </row>
    <row r="86" spans="9:26" s="29" customFormat="1" ht="12.75">
      <c r="I86" s="46"/>
      <c r="J86" s="46"/>
      <c r="K86" s="46"/>
      <c r="L86" s="46"/>
      <c r="M86" s="46"/>
      <c r="N86" s="46"/>
      <c r="O86" s="46"/>
      <c r="P86" s="46"/>
      <c r="Q86" s="46"/>
      <c r="R86" s="46"/>
      <c r="S86" s="46"/>
      <c r="T86" s="46"/>
      <c r="U86" s="46"/>
      <c r="V86" s="46"/>
      <c r="W86" s="46"/>
      <c r="X86" s="46"/>
      <c r="Y86" s="46"/>
      <c r="Z86" s="46"/>
    </row>
    <row r="87" spans="9:26" s="29" customFormat="1" ht="12.75">
      <c r="I87" s="46"/>
      <c r="J87" s="46"/>
      <c r="K87" s="46"/>
      <c r="L87" s="46"/>
      <c r="M87" s="46"/>
      <c r="N87" s="46"/>
      <c r="O87" s="46"/>
      <c r="P87" s="46"/>
      <c r="Q87" s="46"/>
      <c r="R87" s="46"/>
      <c r="S87" s="46"/>
      <c r="T87" s="46"/>
      <c r="U87" s="46"/>
      <c r="V87" s="46"/>
      <c r="W87" s="46"/>
      <c r="X87" s="46"/>
      <c r="Y87" s="46"/>
      <c r="Z87" s="46"/>
    </row>
    <row r="88" spans="9:26" s="29" customFormat="1" ht="12.75">
      <c r="I88" s="46"/>
      <c r="J88" s="46"/>
      <c r="K88" s="46"/>
      <c r="L88" s="46"/>
      <c r="M88" s="46"/>
      <c r="N88" s="46"/>
      <c r="O88" s="46"/>
      <c r="P88" s="46"/>
      <c r="Q88" s="46"/>
      <c r="R88" s="46"/>
      <c r="S88" s="46"/>
      <c r="T88" s="46"/>
      <c r="U88" s="46"/>
      <c r="V88" s="46"/>
      <c r="W88" s="46"/>
      <c r="X88" s="46"/>
      <c r="Y88" s="46"/>
      <c r="Z88" s="46"/>
    </row>
    <row r="89" spans="9:26" s="29" customFormat="1" ht="12.75">
      <c r="I89" s="46"/>
      <c r="J89" s="46"/>
      <c r="K89" s="46"/>
      <c r="L89" s="46"/>
      <c r="M89" s="46"/>
      <c r="N89" s="46"/>
      <c r="O89" s="46"/>
      <c r="P89" s="46"/>
      <c r="Q89" s="46"/>
      <c r="R89" s="46"/>
      <c r="S89" s="46"/>
      <c r="T89" s="46"/>
      <c r="U89" s="46"/>
      <c r="V89" s="46"/>
      <c r="W89" s="46"/>
      <c r="X89" s="46"/>
      <c r="Y89" s="46"/>
      <c r="Z89" s="46"/>
    </row>
    <row r="90" spans="9:26" s="29" customFormat="1" ht="12.75">
      <c r="I90" s="46"/>
      <c r="J90" s="46"/>
      <c r="K90" s="46"/>
      <c r="L90" s="46"/>
      <c r="M90" s="46"/>
      <c r="N90" s="46"/>
      <c r="O90" s="46"/>
      <c r="P90" s="46"/>
      <c r="Q90" s="46"/>
      <c r="R90" s="46"/>
      <c r="S90" s="46"/>
      <c r="T90" s="46"/>
      <c r="U90" s="46"/>
      <c r="V90" s="46"/>
      <c r="W90" s="46"/>
      <c r="X90" s="46"/>
      <c r="Y90" s="46"/>
      <c r="Z90" s="46"/>
    </row>
    <row r="91" spans="9:26" s="29" customFormat="1" ht="12.75">
      <c r="I91" s="46"/>
      <c r="J91" s="46"/>
      <c r="K91" s="46"/>
      <c r="L91" s="46"/>
      <c r="M91" s="46"/>
      <c r="N91" s="46"/>
      <c r="O91" s="46"/>
      <c r="P91" s="46"/>
      <c r="Q91" s="46"/>
      <c r="R91" s="46"/>
      <c r="S91" s="46"/>
      <c r="T91" s="46"/>
      <c r="U91" s="46"/>
      <c r="V91" s="46"/>
      <c r="W91" s="46"/>
      <c r="X91" s="46"/>
      <c r="Y91" s="46"/>
      <c r="Z91" s="46"/>
    </row>
    <row r="92" spans="9:26" s="29" customFormat="1" ht="12.75">
      <c r="I92" s="46"/>
      <c r="J92" s="46"/>
      <c r="K92" s="46"/>
      <c r="L92" s="46"/>
      <c r="M92" s="46"/>
      <c r="N92" s="46"/>
      <c r="O92" s="46"/>
      <c r="P92" s="46"/>
      <c r="Q92" s="46"/>
      <c r="R92" s="46"/>
      <c r="S92" s="46"/>
      <c r="T92" s="46"/>
      <c r="U92" s="46"/>
      <c r="V92" s="46"/>
      <c r="W92" s="46"/>
      <c r="X92" s="46"/>
      <c r="Y92" s="46"/>
      <c r="Z92" s="46"/>
    </row>
    <row r="93" spans="9:26" s="29" customFormat="1" ht="12.75">
      <c r="I93" s="46"/>
      <c r="J93" s="46"/>
      <c r="K93" s="46"/>
      <c r="L93" s="46"/>
      <c r="M93" s="46"/>
      <c r="N93" s="46"/>
      <c r="O93" s="46"/>
      <c r="P93" s="46"/>
      <c r="Q93" s="46"/>
      <c r="R93" s="46"/>
      <c r="S93" s="46"/>
      <c r="T93" s="46"/>
      <c r="U93" s="46"/>
      <c r="V93" s="46"/>
      <c r="W93" s="46"/>
      <c r="X93" s="46"/>
      <c r="Y93" s="46"/>
      <c r="Z93" s="46"/>
    </row>
    <row r="94" spans="9:26" s="29" customFormat="1" ht="12.75">
      <c r="I94" s="46"/>
      <c r="J94" s="46"/>
      <c r="K94" s="46"/>
      <c r="L94" s="46"/>
      <c r="M94" s="46"/>
      <c r="N94" s="46"/>
      <c r="O94" s="46"/>
      <c r="P94" s="46"/>
      <c r="Q94" s="46"/>
      <c r="R94" s="46"/>
      <c r="S94" s="46"/>
      <c r="T94" s="46"/>
      <c r="U94" s="46"/>
      <c r="V94" s="46"/>
      <c r="W94" s="46"/>
      <c r="X94" s="46"/>
      <c r="Y94" s="46"/>
      <c r="Z94" s="46"/>
    </row>
    <row r="95" spans="9:26" s="29" customFormat="1" ht="12.75">
      <c r="I95" s="46"/>
      <c r="J95" s="46"/>
      <c r="K95" s="46"/>
      <c r="L95" s="46"/>
      <c r="M95" s="46"/>
      <c r="N95" s="46"/>
      <c r="O95" s="46"/>
      <c r="P95" s="46"/>
      <c r="Q95" s="46"/>
      <c r="R95" s="46"/>
      <c r="S95" s="46"/>
      <c r="T95" s="46"/>
      <c r="U95" s="46"/>
      <c r="V95" s="46"/>
      <c r="W95" s="46"/>
      <c r="X95" s="46"/>
      <c r="Y95" s="46"/>
      <c r="Z95" s="46"/>
    </row>
    <row r="96" spans="9:26" s="29" customFormat="1" ht="12.75">
      <c r="I96" s="46"/>
      <c r="J96" s="46"/>
      <c r="K96" s="46"/>
      <c r="L96" s="46"/>
      <c r="M96" s="46"/>
      <c r="N96" s="46"/>
      <c r="O96" s="46"/>
      <c r="P96" s="46"/>
      <c r="Q96" s="46"/>
      <c r="R96" s="46"/>
      <c r="S96" s="46"/>
      <c r="T96" s="46"/>
      <c r="U96" s="46"/>
      <c r="V96" s="46"/>
      <c r="W96" s="46"/>
      <c r="X96" s="46"/>
      <c r="Y96" s="46"/>
      <c r="Z96" s="46"/>
    </row>
    <row r="97" spans="9:26" s="29" customFormat="1" ht="12.75">
      <c r="I97" s="46"/>
      <c r="J97" s="46"/>
      <c r="K97" s="46"/>
      <c r="L97" s="46"/>
      <c r="M97" s="46"/>
      <c r="N97" s="46"/>
      <c r="O97" s="46"/>
      <c r="P97" s="46"/>
      <c r="Q97" s="46"/>
      <c r="R97" s="46"/>
      <c r="S97" s="46"/>
      <c r="T97" s="46"/>
      <c r="U97" s="46"/>
      <c r="V97" s="46"/>
      <c r="W97" s="46"/>
      <c r="X97" s="46"/>
      <c r="Y97" s="46"/>
      <c r="Z97" s="46"/>
    </row>
    <row r="98" spans="9:26" s="29" customFormat="1" ht="12.75">
      <c r="I98" s="46"/>
      <c r="J98" s="46"/>
      <c r="K98" s="46"/>
      <c r="L98" s="46"/>
      <c r="M98" s="46"/>
      <c r="N98" s="46"/>
      <c r="O98" s="46"/>
      <c r="P98" s="46"/>
      <c r="Q98" s="46"/>
      <c r="R98" s="46"/>
      <c r="S98" s="46"/>
      <c r="T98" s="46"/>
      <c r="U98" s="46"/>
      <c r="V98" s="46"/>
      <c r="W98" s="46"/>
      <c r="X98" s="46"/>
      <c r="Y98" s="46"/>
      <c r="Z98" s="46"/>
    </row>
    <row r="99" spans="9:26" s="29" customFormat="1" ht="12.75">
      <c r="I99" s="46"/>
      <c r="J99" s="46"/>
      <c r="K99" s="46"/>
      <c r="L99" s="46"/>
      <c r="M99" s="46"/>
      <c r="N99" s="46"/>
      <c r="O99" s="46"/>
      <c r="P99" s="46"/>
      <c r="Q99" s="46"/>
      <c r="R99" s="46"/>
      <c r="S99" s="46"/>
      <c r="T99" s="46"/>
      <c r="U99" s="46"/>
      <c r="V99" s="46"/>
      <c r="W99" s="46"/>
      <c r="X99" s="46"/>
      <c r="Y99" s="46"/>
      <c r="Z99" s="46"/>
    </row>
    <row r="100" spans="9:26" s="29" customFormat="1" ht="12.75">
      <c r="I100" s="46"/>
      <c r="J100" s="46"/>
      <c r="K100" s="46"/>
      <c r="L100" s="46"/>
      <c r="M100" s="46"/>
      <c r="N100" s="46"/>
      <c r="O100" s="46"/>
      <c r="P100" s="46"/>
      <c r="Q100" s="46"/>
      <c r="R100" s="46"/>
      <c r="S100" s="46"/>
      <c r="T100" s="46"/>
      <c r="U100" s="46"/>
      <c r="V100" s="46"/>
      <c r="W100" s="46"/>
      <c r="X100" s="46"/>
      <c r="Y100" s="46"/>
      <c r="Z100" s="46"/>
    </row>
    <row r="101" spans="9:26" s="29" customFormat="1" ht="12.75">
      <c r="I101" s="46"/>
      <c r="J101" s="46"/>
      <c r="K101" s="46"/>
      <c r="L101" s="46"/>
      <c r="M101" s="46"/>
      <c r="N101" s="46"/>
      <c r="O101" s="46"/>
      <c r="P101" s="46"/>
      <c r="Q101" s="46"/>
      <c r="R101" s="46"/>
      <c r="S101" s="46"/>
      <c r="T101" s="46"/>
      <c r="U101" s="46"/>
      <c r="V101" s="46"/>
      <c r="W101" s="46"/>
      <c r="X101" s="46"/>
      <c r="Y101" s="46"/>
      <c r="Z101" s="46"/>
    </row>
    <row r="102" spans="9:26" s="29" customFormat="1" ht="12.75">
      <c r="I102" s="46"/>
      <c r="J102" s="46"/>
      <c r="K102" s="46"/>
      <c r="L102" s="46"/>
      <c r="M102" s="46"/>
      <c r="N102" s="46"/>
      <c r="O102" s="46"/>
      <c r="P102" s="46"/>
      <c r="Q102" s="46"/>
      <c r="R102" s="46"/>
      <c r="S102" s="46"/>
      <c r="T102" s="46"/>
      <c r="U102" s="46"/>
      <c r="V102" s="46"/>
      <c r="W102" s="46"/>
      <c r="X102" s="46"/>
      <c r="Y102" s="46"/>
      <c r="Z102" s="46"/>
    </row>
    <row r="103" spans="9:26" s="29" customFormat="1" ht="12.75">
      <c r="I103" s="46"/>
      <c r="J103" s="46"/>
      <c r="K103" s="46"/>
      <c r="L103" s="46"/>
      <c r="M103" s="46"/>
      <c r="N103" s="46"/>
      <c r="O103" s="46"/>
      <c r="P103" s="46"/>
      <c r="Q103" s="46"/>
      <c r="R103" s="46"/>
      <c r="S103" s="46"/>
      <c r="T103" s="46"/>
      <c r="U103" s="46"/>
      <c r="V103" s="46"/>
      <c r="W103" s="46"/>
      <c r="X103" s="46"/>
      <c r="Y103" s="46"/>
      <c r="Z103" s="46"/>
    </row>
    <row r="104" spans="9:26" s="29" customFormat="1" ht="12.75">
      <c r="I104" s="46"/>
      <c r="J104" s="46"/>
      <c r="K104" s="46"/>
      <c r="L104" s="46"/>
      <c r="M104" s="46"/>
      <c r="N104" s="46"/>
      <c r="O104" s="46"/>
      <c r="P104" s="46"/>
      <c r="Q104" s="46"/>
      <c r="R104" s="46"/>
      <c r="S104" s="46"/>
      <c r="T104" s="46"/>
      <c r="U104" s="46"/>
      <c r="V104" s="46"/>
      <c r="W104" s="46"/>
      <c r="X104" s="46"/>
      <c r="Y104" s="46"/>
      <c r="Z104" s="46"/>
    </row>
    <row r="105" spans="9:26" s="29" customFormat="1" ht="12.75">
      <c r="I105" s="46"/>
      <c r="J105" s="46"/>
      <c r="K105" s="46"/>
      <c r="L105" s="46"/>
      <c r="M105" s="46"/>
      <c r="N105" s="46"/>
      <c r="O105" s="46"/>
      <c r="P105" s="46"/>
      <c r="Q105" s="46"/>
      <c r="R105" s="46"/>
      <c r="S105" s="46"/>
      <c r="T105" s="46"/>
      <c r="U105" s="46"/>
      <c r="V105" s="46"/>
      <c r="W105" s="46"/>
      <c r="X105" s="46"/>
      <c r="Y105" s="46"/>
      <c r="Z105" s="46"/>
    </row>
    <row r="106" spans="9:26" s="29" customFormat="1" ht="12.75">
      <c r="I106" s="46"/>
      <c r="J106" s="46"/>
      <c r="K106" s="46"/>
      <c r="L106" s="46"/>
      <c r="M106" s="46"/>
      <c r="N106" s="46"/>
      <c r="O106" s="46"/>
      <c r="P106" s="46"/>
      <c r="Q106" s="46"/>
      <c r="R106" s="46"/>
      <c r="S106" s="46"/>
      <c r="T106" s="46"/>
      <c r="U106" s="46"/>
      <c r="V106" s="46"/>
      <c r="W106" s="46"/>
      <c r="X106" s="46"/>
      <c r="Y106" s="46"/>
      <c r="Z106" s="46"/>
    </row>
    <row r="107" spans="9:26" s="29" customFormat="1" ht="12" customHeight="1">
      <c r="I107" s="46"/>
      <c r="J107" s="46"/>
      <c r="K107" s="46"/>
      <c r="L107" s="46"/>
      <c r="M107" s="46"/>
      <c r="N107" s="46"/>
      <c r="O107" s="46"/>
      <c r="P107" s="46"/>
      <c r="Q107" s="46"/>
      <c r="R107" s="46"/>
      <c r="S107" s="46"/>
      <c r="T107" s="46"/>
      <c r="U107" s="46"/>
      <c r="V107" s="46"/>
      <c r="W107" s="46"/>
      <c r="X107" s="46"/>
      <c r="Y107" s="46"/>
      <c r="Z107" s="46"/>
    </row>
    <row r="108" spans="9:26" s="29" customFormat="1" ht="20.25" customHeight="1">
      <c r="I108" s="46"/>
      <c r="J108" s="46"/>
      <c r="K108" s="46"/>
      <c r="L108" s="46"/>
      <c r="M108" s="46"/>
      <c r="N108" s="46"/>
      <c r="O108" s="46"/>
      <c r="P108" s="46"/>
      <c r="Q108" s="46"/>
      <c r="R108" s="46"/>
      <c r="S108" s="46"/>
      <c r="T108" s="46"/>
      <c r="U108" s="46"/>
      <c r="V108" s="46"/>
      <c r="W108" s="46"/>
      <c r="X108" s="46"/>
      <c r="Y108" s="46"/>
      <c r="Z108" s="46"/>
    </row>
    <row r="109" spans="9:26" s="29" customFormat="1" ht="20.25" customHeight="1">
      <c r="I109" s="46"/>
      <c r="J109" s="46"/>
      <c r="K109" s="46"/>
      <c r="L109" s="46"/>
      <c r="M109" s="46"/>
      <c r="N109" s="46"/>
      <c r="O109" s="46"/>
      <c r="P109" s="46"/>
      <c r="Q109" s="46"/>
      <c r="R109" s="46"/>
      <c r="S109" s="46"/>
      <c r="T109" s="46"/>
      <c r="U109" s="46"/>
      <c r="V109" s="46"/>
      <c r="W109" s="46"/>
      <c r="X109" s="46"/>
      <c r="Y109" s="46"/>
      <c r="Z109" s="46"/>
    </row>
    <row r="110" spans="9:26" s="29" customFormat="1" ht="12.75">
      <c r="I110" s="46"/>
      <c r="J110" s="46"/>
      <c r="K110" s="46"/>
      <c r="L110" s="46"/>
      <c r="M110" s="46"/>
      <c r="N110" s="46"/>
      <c r="O110" s="46"/>
      <c r="P110" s="46"/>
      <c r="Q110" s="46"/>
      <c r="R110" s="46"/>
      <c r="S110" s="46"/>
      <c r="T110" s="46"/>
      <c r="U110" s="46"/>
      <c r="V110" s="46"/>
      <c r="W110" s="46"/>
      <c r="X110" s="46"/>
      <c r="Y110" s="46"/>
      <c r="Z110" s="46"/>
    </row>
    <row r="111" spans="9:26" s="29" customFormat="1" ht="87" customHeight="1">
      <c r="I111" s="46"/>
      <c r="J111" s="46"/>
      <c r="K111" s="46"/>
      <c r="L111" s="46"/>
      <c r="M111" s="46"/>
      <c r="N111" s="46"/>
      <c r="O111" s="46"/>
      <c r="P111" s="46"/>
      <c r="Q111" s="46"/>
      <c r="R111" s="46"/>
      <c r="S111" s="46"/>
      <c r="T111" s="46"/>
      <c r="U111" s="46"/>
      <c r="V111" s="46"/>
      <c r="W111" s="46"/>
      <c r="X111" s="46"/>
      <c r="Y111" s="46"/>
      <c r="Z111" s="46"/>
    </row>
    <row r="112" spans="9:26" s="29" customFormat="1" ht="12.75">
      <c r="I112" s="46"/>
      <c r="J112" s="46"/>
      <c r="K112" s="46"/>
      <c r="L112" s="46"/>
      <c r="M112" s="46"/>
      <c r="N112" s="46"/>
      <c r="O112" s="46"/>
      <c r="P112" s="46"/>
      <c r="Q112" s="46"/>
      <c r="R112" s="46"/>
      <c r="S112" s="46"/>
      <c r="T112" s="46"/>
      <c r="U112" s="46"/>
      <c r="V112" s="46"/>
      <c r="W112" s="46"/>
      <c r="X112" s="46"/>
      <c r="Y112" s="46"/>
      <c r="Z112" s="46"/>
    </row>
    <row r="113" spans="9:26" s="29" customFormat="1" ht="12.75">
      <c r="I113" s="46"/>
      <c r="J113" s="46"/>
      <c r="K113" s="46"/>
      <c r="L113" s="46"/>
      <c r="M113" s="46"/>
      <c r="N113" s="46"/>
      <c r="O113" s="46"/>
      <c r="P113" s="46"/>
      <c r="Q113" s="46"/>
      <c r="R113" s="46"/>
      <c r="S113" s="46"/>
      <c r="T113" s="46"/>
      <c r="U113" s="46"/>
      <c r="V113" s="46"/>
      <c r="W113" s="46"/>
      <c r="X113" s="46"/>
      <c r="Y113" s="46"/>
      <c r="Z113" s="46"/>
    </row>
    <row r="114" spans="9:26" s="29" customFormat="1" ht="12.75">
      <c r="I114" s="46"/>
      <c r="J114" s="46"/>
      <c r="K114" s="46"/>
      <c r="L114" s="46"/>
      <c r="M114" s="46"/>
      <c r="N114" s="46"/>
      <c r="O114" s="46"/>
      <c r="P114" s="46"/>
      <c r="Q114" s="46"/>
      <c r="R114" s="46"/>
      <c r="S114" s="46"/>
      <c r="T114" s="46"/>
      <c r="U114" s="46"/>
      <c r="V114" s="46"/>
      <c r="W114" s="46"/>
      <c r="X114" s="46"/>
      <c r="Y114" s="46"/>
      <c r="Z114" s="46"/>
    </row>
    <row r="115" spans="9:26" s="29" customFormat="1" ht="12.75">
      <c r="I115" s="46"/>
      <c r="J115" s="46"/>
      <c r="K115" s="46"/>
      <c r="L115" s="46"/>
      <c r="M115" s="46"/>
      <c r="N115" s="46"/>
      <c r="O115" s="46"/>
      <c r="P115" s="46"/>
      <c r="Q115" s="46"/>
      <c r="R115" s="46"/>
      <c r="S115" s="46"/>
      <c r="T115" s="46"/>
      <c r="U115" s="46"/>
      <c r="V115" s="46"/>
      <c r="W115" s="46"/>
      <c r="X115" s="46"/>
      <c r="Y115" s="46"/>
      <c r="Z115" s="46"/>
    </row>
    <row r="116" spans="9:26" s="29" customFormat="1" ht="12.75">
      <c r="I116" s="46"/>
      <c r="J116" s="46"/>
      <c r="K116" s="46"/>
      <c r="L116" s="46"/>
      <c r="M116" s="46"/>
      <c r="N116" s="46"/>
      <c r="O116" s="46"/>
      <c r="P116" s="46"/>
      <c r="Q116" s="46"/>
      <c r="R116" s="46"/>
      <c r="S116" s="46"/>
      <c r="T116" s="46"/>
      <c r="U116" s="46"/>
      <c r="V116" s="46"/>
      <c r="W116" s="46"/>
      <c r="X116" s="46"/>
      <c r="Y116" s="46"/>
      <c r="Z116" s="46"/>
    </row>
    <row r="117" spans="9:26" s="29" customFormat="1" ht="12.75">
      <c r="I117" s="46"/>
      <c r="J117" s="46"/>
      <c r="K117" s="46"/>
      <c r="L117" s="46"/>
      <c r="M117" s="46"/>
      <c r="N117" s="46"/>
      <c r="O117" s="46"/>
      <c r="P117" s="46"/>
      <c r="Q117" s="46"/>
      <c r="R117" s="46"/>
      <c r="S117" s="46"/>
      <c r="T117" s="46"/>
      <c r="U117" s="46"/>
      <c r="V117" s="46"/>
      <c r="W117" s="46"/>
      <c r="X117" s="46"/>
      <c r="Y117" s="46"/>
      <c r="Z117" s="46"/>
    </row>
    <row r="118" spans="9:26" s="29" customFormat="1" ht="12.75">
      <c r="I118" s="46"/>
      <c r="J118" s="46"/>
      <c r="K118" s="46"/>
      <c r="L118" s="46"/>
      <c r="M118" s="46"/>
      <c r="N118" s="46"/>
      <c r="O118" s="46"/>
      <c r="P118" s="46"/>
      <c r="Q118" s="46"/>
      <c r="R118" s="46"/>
      <c r="S118" s="46"/>
      <c r="T118" s="46"/>
      <c r="U118" s="46"/>
      <c r="V118" s="46"/>
      <c r="W118" s="46"/>
      <c r="X118" s="46"/>
      <c r="Y118" s="46"/>
      <c r="Z118" s="46"/>
    </row>
    <row r="119" spans="9:26" s="29" customFormat="1" ht="12.75">
      <c r="I119" s="46"/>
      <c r="J119" s="46"/>
      <c r="K119" s="46"/>
      <c r="L119" s="46"/>
      <c r="M119" s="46"/>
      <c r="N119" s="46"/>
      <c r="O119" s="46"/>
      <c r="P119" s="46"/>
      <c r="Q119" s="46"/>
      <c r="R119" s="46"/>
      <c r="S119" s="46"/>
      <c r="T119" s="46"/>
      <c r="U119" s="46"/>
      <c r="V119" s="46"/>
      <c r="W119" s="46"/>
      <c r="X119" s="46"/>
      <c r="Y119" s="46"/>
      <c r="Z119" s="46"/>
    </row>
    <row r="120" spans="9:26" s="29" customFormat="1" ht="12.75">
      <c r="I120" s="46"/>
      <c r="J120" s="46"/>
      <c r="K120" s="46"/>
      <c r="L120" s="46"/>
      <c r="M120" s="46"/>
      <c r="N120" s="46"/>
      <c r="O120" s="46"/>
      <c r="P120" s="46"/>
      <c r="Q120" s="46"/>
      <c r="R120" s="46"/>
      <c r="S120" s="46"/>
      <c r="T120" s="46"/>
      <c r="U120" s="46"/>
      <c r="V120" s="46"/>
      <c r="W120" s="46"/>
      <c r="X120" s="46"/>
      <c r="Y120" s="46"/>
      <c r="Z120" s="46"/>
    </row>
    <row r="121" spans="9:26" s="29" customFormat="1" ht="12.75">
      <c r="I121" s="46"/>
      <c r="J121" s="46"/>
      <c r="K121" s="46"/>
      <c r="L121" s="46"/>
      <c r="M121" s="46"/>
      <c r="N121" s="46"/>
      <c r="O121" s="46"/>
      <c r="P121" s="46"/>
      <c r="Q121" s="46"/>
      <c r="R121" s="46"/>
      <c r="S121" s="46"/>
      <c r="T121" s="46"/>
      <c r="U121" s="46"/>
      <c r="V121" s="46"/>
      <c r="W121" s="46"/>
      <c r="X121" s="46"/>
      <c r="Y121" s="46"/>
      <c r="Z121" s="46"/>
    </row>
    <row r="122" spans="9:26" s="29" customFormat="1" ht="12.75">
      <c r="I122" s="46"/>
      <c r="J122" s="46"/>
      <c r="K122" s="46"/>
      <c r="L122" s="46"/>
      <c r="M122" s="46"/>
      <c r="N122" s="46"/>
      <c r="O122" s="46"/>
      <c r="P122" s="46"/>
      <c r="Q122" s="46"/>
      <c r="R122" s="46"/>
      <c r="S122" s="46"/>
      <c r="T122" s="46"/>
      <c r="U122" s="46"/>
      <c r="V122" s="46"/>
      <c r="W122" s="46"/>
      <c r="X122" s="46"/>
      <c r="Y122" s="46"/>
      <c r="Z122" s="46"/>
    </row>
  </sheetData>
  <sheetProtection password="A61E" sheet="1" objects="1" scenarios="1"/>
  <mergeCells count="7">
    <mergeCell ref="A31:C31"/>
    <mergeCell ref="A1:H1"/>
    <mergeCell ref="A2:H2"/>
    <mergeCell ref="A8:D8"/>
    <mergeCell ref="A14:C14"/>
    <mergeCell ref="A27:D27"/>
    <mergeCell ref="A9:D9"/>
  </mergeCells>
  <dataValidations count="1">
    <dataValidation allowBlank="1" showInputMessage="1" showErrorMessage="1" prompt="DOE's sales tax figure will automatically appear in this box.  You can also enter your most recent estimate, if it differs from the department's figure." sqref="F27"/>
  </dataValidations>
  <hyperlinks>
    <hyperlink ref="A9" r:id="rId1" display="(See Attachment D, Chart of Accounts, for 2004-2005 ASRFIN)"/>
  </hyperlinks>
  <printOptions horizontalCentered="1"/>
  <pageMargins left="0.34" right="0.31" top="0.5" bottom="0.5" header="0.5" footer="0.5"/>
  <pageSetup horizontalDpi="600" verticalDpi="600" orientation="landscape" scale="75" r:id="rId4"/>
  <legacyDrawing r:id="rId3"/>
</worksheet>
</file>

<file path=xl/worksheets/sheet5.xml><?xml version="1.0" encoding="utf-8"?>
<worksheet xmlns="http://schemas.openxmlformats.org/spreadsheetml/2006/main" xmlns:r="http://schemas.openxmlformats.org/officeDocument/2006/relationships">
  <sheetPr codeName="Sheet2"/>
  <dimension ref="A1:C137"/>
  <sheetViews>
    <sheetView workbookViewId="0" topLeftCell="A1">
      <selection activeCell="A1" sqref="A1"/>
    </sheetView>
  </sheetViews>
  <sheetFormatPr defaultColWidth="9.140625" defaultRowHeight="12.75"/>
  <cols>
    <col min="1" max="1" width="37.7109375" style="0" bestFit="1" customWidth="1"/>
    <col min="3" max="3" width="24.28125" style="0" bestFit="1" customWidth="1"/>
  </cols>
  <sheetData>
    <row r="1" ht="15.75">
      <c r="A1" s="89" t="s">
        <v>11</v>
      </c>
    </row>
    <row r="2" spans="1:3" ht="15">
      <c r="A2" s="5" t="s">
        <v>12</v>
      </c>
      <c r="B2" s="146">
        <v>1</v>
      </c>
      <c r="C2" t="s">
        <v>467</v>
      </c>
    </row>
    <row r="3" spans="1:3" ht="15">
      <c r="A3" s="5" t="s">
        <v>13</v>
      </c>
      <c r="B3" s="146">
        <v>2</v>
      </c>
      <c r="C3" t="s">
        <v>468</v>
      </c>
    </row>
    <row r="4" spans="1:3" ht="15">
      <c r="A4" s="5" t="s">
        <v>280</v>
      </c>
      <c r="B4" s="146">
        <v>3</v>
      </c>
      <c r="C4" t="s">
        <v>469</v>
      </c>
    </row>
    <row r="5" spans="1:3" ht="15">
      <c r="A5" s="5" t="s">
        <v>14</v>
      </c>
      <c r="B5" s="146">
        <v>4</v>
      </c>
      <c r="C5" t="s">
        <v>470</v>
      </c>
    </row>
    <row r="6" spans="1:3" ht="15">
      <c r="A6" s="5" t="s">
        <v>15</v>
      </c>
      <c r="B6" s="146">
        <v>5</v>
      </c>
      <c r="C6" t="s">
        <v>471</v>
      </c>
    </row>
    <row r="7" spans="1:3" ht="15">
      <c r="A7" s="5" t="s">
        <v>16</v>
      </c>
      <c r="B7" s="146">
        <v>6</v>
      </c>
      <c r="C7" t="s">
        <v>472</v>
      </c>
    </row>
    <row r="8" spans="1:3" ht="15">
      <c r="A8" s="5" t="s">
        <v>17</v>
      </c>
      <c r="B8" s="146">
        <v>7</v>
      </c>
      <c r="C8" t="s">
        <v>473</v>
      </c>
    </row>
    <row r="9" spans="1:3" ht="15">
      <c r="A9" s="5" t="s">
        <v>18</v>
      </c>
      <c r="B9" s="146">
        <v>8</v>
      </c>
      <c r="C9" t="s">
        <v>474</v>
      </c>
    </row>
    <row r="10" spans="1:3" ht="15">
      <c r="A10" s="5" t="s">
        <v>19</v>
      </c>
      <c r="B10" s="146">
        <v>9</v>
      </c>
      <c r="C10" t="s">
        <v>475</v>
      </c>
    </row>
    <row r="11" spans="1:3" ht="15">
      <c r="A11" s="5" t="s">
        <v>612</v>
      </c>
      <c r="B11" s="146">
        <v>10</v>
      </c>
      <c r="C11" t="s">
        <v>613</v>
      </c>
    </row>
    <row r="12" spans="1:3" ht="15">
      <c r="A12" s="5" t="s">
        <v>20</v>
      </c>
      <c r="B12" s="146">
        <v>11</v>
      </c>
      <c r="C12" t="s">
        <v>476</v>
      </c>
    </row>
    <row r="13" spans="1:3" ht="15">
      <c r="A13" s="5" t="s">
        <v>21</v>
      </c>
      <c r="B13" s="146">
        <v>12</v>
      </c>
      <c r="C13" t="s">
        <v>477</v>
      </c>
    </row>
    <row r="14" spans="1:3" ht="15">
      <c r="A14" s="5" t="s">
        <v>22</v>
      </c>
      <c r="B14" s="146">
        <v>13</v>
      </c>
      <c r="C14" t="s">
        <v>478</v>
      </c>
    </row>
    <row r="15" spans="1:3" ht="15">
      <c r="A15" s="5" t="s">
        <v>23</v>
      </c>
      <c r="B15" s="146">
        <v>14</v>
      </c>
      <c r="C15" t="s">
        <v>479</v>
      </c>
    </row>
    <row r="16" spans="1:3" ht="15">
      <c r="A16" s="5" t="s">
        <v>24</v>
      </c>
      <c r="B16" s="146">
        <v>15</v>
      </c>
      <c r="C16" t="s">
        <v>480</v>
      </c>
    </row>
    <row r="17" spans="1:3" ht="15">
      <c r="A17" s="5" t="s">
        <v>25</v>
      </c>
      <c r="B17" s="146">
        <v>16</v>
      </c>
      <c r="C17" t="s">
        <v>481</v>
      </c>
    </row>
    <row r="18" spans="1:3" ht="15">
      <c r="A18" s="5" t="s">
        <v>26</v>
      </c>
      <c r="B18" s="146">
        <v>17</v>
      </c>
      <c r="C18" t="s">
        <v>482</v>
      </c>
    </row>
    <row r="19" spans="1:3" ht="15">
      <c r="A19" s="5" t="s">
        <v>27</v>
      </c>
      <c r="B19" s="146">
        <v>18</v>
      </c>
      <c r="C19" t="s">
        <v>483</v>
      </c>
    </row>
    <row r="20" spans="1:3" ht="15">
      <c r="A20" s="5" t="s">
        <v>28</v>
      </c>
      <c r="B20" s="146">
        <v>19</v>
      </c>
      <c r="C20" t="s">
        <v>484</v>
      </c>
    </row>
    <row r="21" spans="1:3" ht="15">
      <c r="A21" s="5" t="s">
        <v>29</v>
      </c>
      <c r="B21" s="146">
        <v>20</v>
      </c>
      <c r="C21" t="s">
        <v>485</v>
      </c>
    </row>
    <row r="22" spans="1:3" ht="15">
      <c r="A22" s="5" t="s">
        <v>30</v>
      </c>
      <c r="B22" s="146">
        <v>21</v>
      </c>
      <c r="C22" t="s">
        <v>486</v>
      </c>
    </row>
    <row r="23" spans="1:3" ht="15">
      <c r="A23" s="5" t="s">
        <v>31</v>
      </c>
      <c r="B23" s="146">
        <v>22</v>
      </c>
      <c r="C23" t="s">
        <v>487</v>
      </c>
    </row>
    <row r="24" spans="1:3" ht="15">
      <c r="A24" s="5" t="s">
        <v>32</v>
      </c>
      <c r="B24" s="146">
        <v>23</v>
      </c>
      <c r="C24" t="s">
        <v>488</v>
      </c>
    </row>
    <row r="25" spans="1:3" ht="15">
      <c r="A25" s="5" t="s">
        <v>33</v>
      </c>
      <c r="B25" s="146">
        <v>24</v>
      </c>
      <c r="C25" t="s">
        <v>489</v>
      </c>
    </row>
    <row r="26" spans="1:3" ht="15">
      <c r="A26" s="5" t="s">
        <v>34</v>
      </c>
      <c r="B26" s="146">
        <v>25</v>
      </c>
      <c r="C26" t="s">
        <v>490</v>
      </c>
    </row>
    <row r="27" spans="1:3" ht="15">
      <c r="A27" s="5" t="s">
        <v>35</v>
      </c>
      <c r="B27" s="146">
        <v>26</v>
      </c>
      <c r="C27" t="s">
        <v>491</v>
      </c>
    </row>
    <row r="28" spans="1:3" ht="15">
      <c r="A28" s="5" t="s">
        <v>36</v>
      </c>
      <c r="B28" s="146">
        <v>27</v>
      </c>
      <c r="C28" t="s">
        <v>492</v>
      </c>
    </row>
    <row r="29" spans="1:3" ht="15">
      <c r="A29" s="5" t="s">
        <v>37</v>
      </c>
      <c r="B29" s="146">
        <v>28</v>
      </c>
      <c r="C29" t="s">
        <v>493</v>
      </c>
    </row>
    <row r="30" spans="1:3" ht="15">
      <c r="A30" s="5" t="s">
        <v>617</v>
      </c>
      <c r="B30" s="146">
        <v>29</v>
      </c>
      <c r="C30" t="s">
        <v>616</v>
      </c>
    </row>
    <row r="31" spans="1:3" ht="15">
      <c r="A31" s="5" t="s">
        <v>38</v>
      </c>
      <c r="B31" s="146">
        <v>30</v>
      </c>
      <c r="C31" t="s">
        <v>494</v>
      </c>
    </row>
    <row r="32" spans="1:3" ht="15">
      <c r="A32" s="5" t="s">
        <v>39</v>
      </c>
      <c r="B32" s="146">
        <v>31</v>
      </c>
      <c r="C32" t="s">
        <v>495</v>
      </c>
    </row>
    <row r="33" spans="1:3" ht="15">
      <c r="A33" s="5" t="s">
        <v>40</v>
      </c>
      <c r="B33" s="146">
        <v>32</v>
      </c>
      <c r="C33" t="s">
        <v>496</v>
      </c>
    </row>
    <row r="34" spans="1:3" ht="15">
      <c r="A34" s="5" t="s">
        <v>41</v>
      </c>
      <c r="B34" s="146">
        <v>33</v>
      </c>
      <c r="C34" t="s">
        <v>497</v>
      </c>
    </row>
    <row r="35" spans="1:3" ht="15">
      <c r="A35" s="5" t="s">
        <v>42</v>
      </c>
      <c r="B35" s="146">
        <v>34</v>
      </c>
      <c r="C35" t="s">
        <v>498</v>
      </c>
    </row>
    <row r="36" spans="1:3" ht="15">
      <c r="A36" s="5" t="s">
        <v>43</v>
      </c>
      <c r="B36" s="146">
        <v>35</v>
      </c>
      <c r="C36" t="s">
        <v>499</v>
      </c>
    </row>
    <row r="37" spans="1:3" ht="15">
      <c r="A37" s="5" t="s">
        <v>44</v>
      </c>
      <c r="B37" s="146">
        <v>36</v>
      </c>
      <c r="C37" t="s">
        <v>500</v>
      </c>
    </row>
    <row r="38" spans="1:3" ht="15">
      <c r="A38" s="5" t="s">
        <v>45</v>
      </c>
      <c r="B38" s="146">
        <v>37</v>
      </c>
      <c r="C38" t="s">
        <v>501</v>
      </c>
    </row>
    <row r="39" spans="1:3" ht="15">
      <c r="A39" s="5" t="s">
        <v>46</v>
      </c>
      <c r="B39" s="146">
        <v>38</v>
      </c>
      <c r="C39" t="s">
        <v>502</v>
      </c>
    </row>
    <row r="40" spans="1:3" ht="15">
      <c r="A40" s="5" t="s">
        <v>47</v>
      </c>
      <c r="B40" s="146">
        <v>39</v>
      </c>
      <c r="C40" t="s">
        <v>503</v>
      </c>
    </row>
    <row r="41" spans="1:3" ht="15">
      <c r="A41" s="5" t="s">
        <v>611</v>
      </c>
      <c r="B41" s="146">
        <v>40</v>
      </c>
      <c r="C41" t="s">
        <v>618</v>
      </c>
    </row>
    <row r="42" spans="1:3" ht="15">
      <c r="A42" s="5" t="s">
        <v>48</v>
      </c>
      <c r="B42" s="146">
        <v>41</v>
      </c>
      <c r="C42" t="s">
        <v>504</v>
      </c>
    </row>
    <row r="43" spans="1:3" ht="15">
      <c r="A43" s="5" t="s">
        <v>49</v>
      </c>
      <c r="B43" s="146">
        <v>42</v>
      </c>
      <c r="C43" t="s">
        <v>505</v>
      </c>
    </row>
    <row r="44" spans="1:3" ht="15">
      <c r="A44" s="5" t="s">
        <v>50</v>
      </c>
      <c r="B44" s="146">
        <v>43</v>
      </c>
      <c r="C44" t="s">
        <v>506</v>
      </c>
    </row>
    <row r="45" spans="1:3" ht="15">
      <c r="A45" s="5" t="s">
        <v>51</v>
      </c>
      <c r="B45" s="146">
        <v>44</v>
      </c>
      <c r="C45" t="s">
        <v>507</v>
      </c>
    </row>
    <row r="46" spans="1:3" ht="15">
      <c r="A46" s="5" t="s">
        <v>52</v>
      </c>
      <c r="B46" s="146">
        <v>45</v>
      </c>
      <c r="C46" t="s">
        <v>508</v>
      </c>
    </row>
    <row r="47" spans="1:3" ht="15">
      <c r="A47" s="5" t="s">
        <v>53</v>
      </c>
      <c r="B47" s="146">
        <v>46</v>
      </c>
      <c r="C47" t="s">
        <v>509</v>
      </c>
    </row>
    <row r="48" spans="1:3" ht="15">
      <c r="A48" s="5" t="s">
        <v>620</v>
      </c>
      <c r="B48" s="146">
        <v>47</v>
      </c>
      <c r="C48" t="s">
        <v>619</v>
      </c>
    </row>
    <row r="49" spans="1:3" ht="15">
      <c r="A49" s="5" t="s">
        <v>54</v>
      </c>
      <c r="B49" s="146">
        <v>48</v>
      </c>
      <c r="C49" t="s">
        <v>510</v>
      </c>
    </row>
    <row r="50" spans="1:3" ht="15">
      <c r="A50" s="5" t="s">
        <v>55</v>
      </c>
      <c r="B50" s="146">
        <v>49</v>
      </c>
      <c r="C50" t="s">
        <v>511</v>
      </c>
    </row>
    <row r="51" spans="1:3" ht="15">
      <c r="A51" s="5" t="s">
        <v>56</v>
      </c>
      <c r="B51" s="146">
        <v>50</v>
      </c>
      <c r="C51" t="s">
        <v>512</v>
      </c>
    </row>
    <row r="52" spans="1:3" ht="15">
      <c r="A52" s="5" t="s">
        <v>57</v>
      </c>
      <c r="B52" s="146">
        <v>51</v>
      </c>
      <c r="C52" t="s">
        <v>513</v>
      </c>
    </row>
    <row r="53" spans="1:3" ht="15">
      <c r="A53" s="5" t="s">
        <v>58</v>
      </c>
      <c r="B53" s="146">
        <v>52</v>
      </c>
      <c r="C53" t="s">
        <v>514</v>
      </c>
    </row>
    <row r="54" spans="1:3" ht="15">
      <c r="A54" s="5" t="s">
        <v>59</v>
      </c>
      <c r="B54" s="146">
        <v>53</v>
      </c>
      <c r="C54" t="s">
        <v>515</v>
      </c>
    </row>
    <row r="55" spans="1:3" ht="15">
      <c r="A55" s="5" t="s">
        <v>60</v>
      </c>
      <c r="B55" s="146">
        <v>54</v>
      </c>
      <c r="C55" t="s">
        <v>516</v>
      </c>
    </row>
    <row r="56" spans="1:3" ht="15">
      <c r="A56" s="5" t="s">
        <v>61</v>
      </c>
      <c r="B56" s="146">
        <v>55</v>
      </c>
      <c r="C56" t="s">
        <v>517</v>
      </c>
    </row>
    <row r="57" spans="1:3" ht="15">
      <c r="A57" s="5" t="s">
        <v>62</v>
      </c>
      <c r="B57" s="146">
        <v>56</v>
      </c>
      <c r="C57" t="s">
        <v>518</v>
      </c>
    </row>
    <row r="58" spans="1:3" ht="15">
      <c r="A58" s="5" t="s">
        <v>63</v>
      </c>
      <c r="B58" s="146">
        <v>57</v>
      </c>
      <c r="C58" t="s">
        <v>519</v>
      </c>
    </row>
    <row r="59" spans="1:3" ht="15">
      <c r="A59" s="5" t="s">
        <v>64</v>
      </c>
      <c r="B59" s="146">
        <v>58</v>
      </c>
      <c r="C59" t="s">
        <v>520</v>
      </c>
    </row>
    <row r="60" spans="1:3" ht="15">
      <c r="A60" s="5" t="s">
        <v>65</v>
      </c>
      <c r="B60" s="146">
        <v>59</v>
      </c>
      <c r="C60" t="s">
        <v>521</v>
      </c>
    </row>
    <row r="61" spans="1:3" ht="15">
      <c r="A61" s="5" t="s">
        <v>66</v>
      </c>
      <c r="B61" s="146">
        <v>60</v>
      </c>
      <c r="C61" t="s">
        <v>522</v>
      </c>
    </row>
    <row r="62" spans="1:3" ht="15">
      <c r="A62" s="5" t="s">
        <v>67</v>
      </c>
      <c r="B62" s="146">
        <v>62</v>
      </c>
      <c r="C62" t="s">
        <v>523</v>
      </c>
    </row>
    <row r="63" spans="1:3" ht="15">
      <c r="A63" s="5" t="s">
        <v>68</v>
      </c>
      <c r="B63" s="146">
        <v>63</v>
      </c>
      <c r="C63" t="s">
        <v>524</v>
      </c>
    </row>
    <row r="64" spans="1:3" ht="15">
      <c r="A64" s="5" t="s">
        <v>69</v>
      </c>
      <c r="B64" s="146">
        <v>65</v>
      </c>
      <c r="C64" t="s">
        <v>525</v>
      </c>
    </row>
    <row r="65" spans="1:3" ht="15">
      <c r="A65" s="5" t="s">
        <v>70</v>
      </c>
      <c r="B65" s="146">
        <v>66</v>
      </c>
      <c r="C65" t="s">
        <v>526</v>
      </c>
    </row>
    <row r="66" spans="1:3" ht="15">
      <c r="A66" s="5" t="s">
        <v>71</v>
      </c>
      <c r="B66" s="146">
        <v>67</v>
      </c>
      <c r="C66" t="s">
        <v>527</v>
      </c>
    </row>
    <row r="67" spans="1:3" ht="15">
      <c r="A67" s="5" t="s">
        <v>72</v>
      </c>
      <c r="B67" s="146">
        <v>68</v>
      </c>
      <c r="C67" t="s">
        <v>528</v>
      </c>
    </row>
    <row r="68" spans="1:3" ht="15">
      <c r="A68" s="5" t="s">
        <v>73</v>
      </c>
      <c r="B68" s="146">
        <v>69</v>
      </c>
      <c r="C68" t="s">
        <v>529</v>
      </c>
    </row>
    <row r="69" spans="1:3" ht="15">
      <c r="A69" s="5" t="s">
        <v>74</v>
      </c>
      <c r="B69" s="146">
        <v>70</v>
      </c>
      <c r="C69" t="s">
        <v>530</v>
      </c>
    </row>
    <row r="70" spans="1:3" ht="15">
      <c r="A70" s="5" t="s">
        <v>75</v>
      </c>
      <c r="B70" s="146">
        <v>71</v>
      </c>
      <c r="C70" t="s">
        <v>531</v>
      </c>
    </row>
    <row r="71" spans="1:3" ht="15">
      <c r="A71" s="5" t="s">
        <v>76</v>
      </c>
      <c r="B71" s="146">
        <v>72</v>
      </c>
      <c r="C71" t="s">
        <v>532</v>
      </c>
    </row>
    <row r="72" spans="1:3" ht="15">
      <c r="A72" s="5" t="s">
        <v>77</v>
      </c>
      <c r="B72" s="146">
        <v>73</v>
      </c>
      <c r="C72" t="s">
        <v>533</v>
      </c>
    </row>
    <row r="73" spans="1:3" ht="15">
      <c r="A73" s="5" t="s">
        <v>78</v>
      </c>
      <c r="B73" s="146">
        <v>74</v>
      </c>
      <c r="C73" t="s">
        <v>534</v>
      </c>
    </row>
    <row r="74" spans="1:3" ht="15">
      <c r="A74" s="5" t="s">
        <v>79</v>
      </c>
      <c r="B74" s="146">
        <v>75</v>
      </c>
      <c r="C74" t="s">
        <v>535</v>
      </c>
    </row>
    <row r="75" spans="1:3" ht="15">
      <c r="A75" s="5" t="s">
        <v>80</v>
      </c>
      <c r="B75" s="146">
        <v>77</v>
      </c>
      <c r="C75" t="s">
        <v>536</v>
      </c>
    </row>
    <row r="76" spans="1:3" ht="15">
      <c r="A76" s="5" t="s">
        <v>81</v>
      </c>
      <c r="B76" s="146">
        <v>78</v>
      </c>
      <c r="C76" t="s">
        <v>537</v>
      </c>
    </row>
    <row r="77" spans="1:3" ht="15">
      <c r="A77" s="5" t="s">
        <v>82</v>
      </c>
      <c r="B77" s="146">
        <v>79</v>
      </c>
      <c r="C77" t="s">
        <v>538</v>
      </c>
    </row>
    <row r="78" spans="1:3" ht="15">
      <c r="A78" s="5" t="s">
        <v>83</v>
      </c>
      <c r="B78" s="146">
        <v>80</v>
      </c>
      <c r="C78" t="s">
        <v>539</v>
      </c>
    </row>
    <row r="79" spans="1:3" ht="15">
      <c r="A79" s="5" t="s">
        <v>84</v>
      </c>
      <c r="B79" s="146">
        <v>81</v>
      </c>
      <c r="C79" t="s">
        <v>540</v>
      </c>
    </row>
    <row r="80" spans="1:3" ht="15">
      <c r="A80" s="5" t="s">
        <v>85</v>
      </c>
      <c r="B80" s="146">
        <v>82</v>
      </c>
      <c r="C80" t="s">
        <v>541</v>
      </c>
    </row>
    <row r="81" spans="1:3" ht="15">
      <c r="A81" s="5" t="s">
        <v>86</v>
      </c>
      <c r="B81" s="146">
        <v>83</v>
      </c>
      <c r="C81" t="s">
        <v>542</v>
      </c>
    </row>
    <row r="82" spans="1:3" ht="15">
      <c r="A82" s="5" t="s">
        <v>87</v>
      </c>
      <c r="B82" s="146">
        <v>84</v>
      </c>
      <c r="C82" t="s">
        <v>543</v>
      </c>
    </row>
    <row r="83" spans="1:3" ht="15">
      <c r="A83" s="5" t="s">
        <v>88</v>
      </c>
      <c r="B83" s="146">
        <v>85</v>
      </c>
      <c r="C83" t="s">
        <v>544</v>
      </c>
    </row>
    <row r="84" spans="1:3" ht="15">
      <c r="A84" s="5" t="s">
        <v>89</v>
      </c>
      <c r="B84" s="146">
        <v>86</v>
      </c>
      <c r="C84" t="s">
        <v>545</v>
      </c>
    </row>
    <row r="85" spans="1:3" ht="15">
      <c r="A85" s="5" t="s">
        <v>90</v>
      </c>
      <c r="B85" s="146">
        <v>87</v>
      </c>
      <c r="C85" t="s">
        <v>546</v>
      </c>
    </row>
    <row r="86" spans="1:3" ht="15">
      <c r="A86" s="5" t="s">
        <v>91</v>
      </c>
      <c r="B86" s="146">
        <v>88</v>
      </c>
      <c r="C86" t="s">
        <v>547</v>
      </c>
    </row>
    <row r="87" spans="1:3" ht="15">
      <c r="A87" s="5" t="s">
        <v>92</v>
      </c>
      <c r="B87" s="146">
        <v>89</v>
      </c>
      <c r="C87" t="s">
        <v>548</v>
      </c>
    </row>
    <row r="88" spans="1:3" ht="15">
      <c r="A88" s="5" t="s">
        <v>93</v>
      </c>
      <c r="B88" s="146">
        <v>90</v>
      </c>
      <c r="C88" t="s">
        <v>549</v>
      </c>
    </row>
    <row r="89" spans="1:3" ht="15">
      <c r="A89" s="5" t="s">
        <v>94</v>
      </c>
      <c r="B89" s="146">
        <v>91</v>
      </c>
      <c r="C89" t="s">
        <v>550</v>
      </c>
    </row>
    <row r="90" spans="1:3" ht="15">
      <c r="A90" s="5" t="s">
        <v>95</v>
      </c>
      <c r="B90" s="146">
        <v>92</v>
      </c>
      <c r="C90" t="s">
        <v>551</v>
      </c>
    </row>
    <row r="91" spans="1:3" ht="15">
      <c r="A91" s="5" t="s">
        <v>96</v>
      </c>
      <c r="B91" s="146">
        <v>93</v>
      </c>
      <c r="C91" t="s">
        <v>552</v>
      </c>
    </row>
    <row r="92" spans="1:3" ht="15">
      <c r="A92" s="5" t="s">
        <v>97</v>
      </c>
      <c r="B92" s="146">
        <v>94</v>
      </c>
      <c r="C92" t="s">
        <v>553</v>
      </c>
    </row>
    <row r="93" spans="1:3" ht="15">
      <c r="A93" s="5" t="s">
        <v>98</v>
      </c>
      <c r="B93" s="146">
        <v>95</v>
      </c>
      <c r="C93" t="s">
        <v>554</v>
      </c>
    </row>
    <row r="94" spans="1:3" ht="15">
      <c r="A94" s="5" t="s">
        <v>99</v>
      </c>
      <c r="B94" s="146">
        <v>96</v>
      </c>
      <c r="C94" t="s">
        <v>555</v>
      </c>
    </row>
    <row r="95" spans="1:3" ht="15">
      <c r="A95" s="5" t="s">
        <v>100</v>
      </c>
      <c r="B95" s="146">
        <v>97</v>
      </c>
      <c r="C95" t="s">
        <v>556</v>
      </c>
    </row>
    <row r="96" spans="1:3" ht="15">
      <c r="A96" s="5" t="s">
        <v>101</v>
      </c>
      <c r="B96" s="146">
        <v>98</v>
      </c>
      <c r="C96" t="s">
        <v>557</v>
      </c>
    </row>
    <row r="97" spans="1:3" ht="15">
      <c r="A97" s="5" t="s">
        <v>102</v>
      </c>
      <c r="B97" s="146">
        <v>101</v>
      </c>
      <c r="C97" t="s">
        <v>558</v>
      </c>
    </row>
    <row r="98" spans="1:3" ht="15">
      <c r="A98" s="5" t="s">
        <v>103</v>
      </c>
      <c r="B98" s="146">
        <v>102</v>
      </c>
      <c r="C98" t="s">
        <v>559</v>
      </c>
    </row>
    <row r="99" spans="1:3" ht="15">
      <c r="A99" s="5" t="s">
        <v>104</v>
      </c>
      <c r="B99" s="146">
        <v>103</v>
      </c>
      <c r="C99" t="s">
        <v>560</v>
      </c>
    </row>
    <row r="100" spans="1:3" ht="15">
      <c r="A100" s="5" t="s">
        <v>105</v>
      </c>
      <c r="B100" s="146">
        <v>104</v>
      </c>
      <c r="C100" t="s">
        <v>561</v>
      </c>
    </row>
    <row r="101" spans="1:3" ht="15">
      <c r="A101" s="5" t="s">
        <v>106</v>
      </c>
      <c r="B101" s="146">
        <v>106</v>
      </c>
      <c r="C101" t="s">
        <v>562</v>
      </c>
    </row>
    <row r="102" spans="1:3" ht="15">
      <c r="A102" s="5" t="s">
        <v>107</v>
      </c>
      <c r="B102" s="146">
        <v>107</v>
      </c>
      <c r="C102" t="s">
        <v>563</v>
      </c>
    </row>
    <row r="103" spans="1:3" ht="15">
      <c r="A103" s="5" t="s">
        <v>108</v>
      </c>
      <c r="B103" s="146">
        <v>108</v>
      </c>
      <c r="C103" t="s">
        <v>564</v>
      </c>
    </row>
    <row r="104" spans="1:3" ht="15">
      <c r="A104" s="5" t="s">
        <v>109</v>
      </c>
      <c r="B104" s="146">
        <v>109</v>
      </c>
      <c r="C104" t="s">
        <v>565</v>
      </c>
    </row>
    <row r="105" spans="1:3" ht="15">
      <c r="A105" s="5" t="s">
        <v>110</v>
      </c>
      <c r="B105" s="146">
        <v>110</v>
      </c>
      <c r="C105" t="s">
        <v>566</v>
      </c>
    </row>
    <row r="106" spans="1:3" ht="15">
      <c r="A106" s="5" t="s">
        <v>111</v>
      </c>
      <c r="B106" s="146">
        <v>111</v>
      </c>
      <c r="C106" t="s">
        <v>567</v>
      </c>
    </row>
    <row r="107" spans="1:3" ht="15">
      <c r="A107" s="5" t="s">
        <v>112</v>
      </c>
      <c r="B107" s="146">
        <v>112</v>
      </c>
      <c r="C107" t="s">
        <v>568</v>
      </c>
    </row>
    <row r="108" spans="1:3" ht="15">
      <c r="A108" s="5" t="s">
        <v>113</v>
      </c>
      <c r="B108" s="146">
        <v>113</v>
      </c>
      <c r="C108" t="s">
        <v>569</v>
      </c>
    </row>
    <row r="109" spans="1:3" ht="15">
      <c r="A109" s="5" t="s">
        <v>114</v>
      </c>
      <c r="B109" s="146">
        <v>114</v>
      </c>
      <c r="C109" t="s">
        <v>570</v>
      </c>
    </row>
    <row r="110" spans="1:3" ht="15">
      <c r="A110" s="5" t="s">
        <v>115</v>
      </c>
      <c r="B110" s="146">
        <v>115</v>
      </c>
      <c r="C110" t="s">
        <v>571</v>
      </c>
    </row>
    <row r="111" spans="1:3" ht="15">
      <c r="A111" s="5" t="s">
        <v>116</v>
      </c>
      <c r="B111" s="146">
        <v>116</v>
      </c>
      <c r="C111" t="s">
        <v>572</v>
      </c>
    </row>
    <row r="112" spans="1:3" ht="15">
      <c r="A112" s="5" t="s">
        <v>117</v>
      </c>
      <c r="B112" s="146">
        <v>117</v>
      </c>
      <c r="C112" t="s">
        <v>573</v>
      </c>
    </row>
    <row r="113" spans="1:3" ht="15">
      <c r="A113" s="5" t="s">
        <v>118</v>
      </c>
      <c r="B113" s="146">
        <v>118</v>
      </c>
      <c r="C113" t="s">
        <v>574</v>
      </c>
    </row>
    <row r="114" spans="1:3" ht="15">
      <c r="A114" s="5" t="s">
        <v>119</v>
      </c>
      <c r="B114" s="146">
        <v>119</v>
      </c>
      <c r="C114" t="s">
        <v>575</v>
      </c>
    </row>
    <row r="115" spans="1:3" ht="15">
      <c r="A115" s="5" t="s">
        <v>120</v>
      </c>
      <c r="B115" s="146">
        <v>120</v>
      </c>
      <c r="C115" t="s">
        <v>576</v>
      </c>
    </row>
    <row r="116" spans="1:3" ht="15">
      <c r="A116" s="5" t="s">
        <v>121</v>
      </c>
      <c r="B116" s="146">
        <v>121</v>
      </c>
      <c r="C116" t="s">
        <v>577</v>
      </c>
    </row>
    <row r="117" spans="1:3" ht="15">
      <c r="A117" s="5" t="s">
        <v>122</v>
      </c>
      <c r="B117" s="146">
        <v>122</v>
      </c>
      <c r="C117" t="s">
        <v>578</v>
      </c>
    </row>
    <row r="118" spans="1:3" ht="15">
      <c r="A118" s="5" t="s">
        <v>123</v>
      </c>
      <c r="B118" s="146">
        <v>123</v>
      </c>
      <c r="C118" t="s">
        <v>579</v>
      </c>
    </row>
    <row r="119" spans="1:3" ht="15">
      <c r="A119" s="5" t="s">
        <v>124</v>
      </c>
      <c r="B119" s="146">
        <v>124</v>
      </c>
      <c r="C119" t="s">
        <v>580</v>
      </c>
    </row>
    <row r="120" spans="1:3" ht="15">
      <c r="A120" s="5" t="s">
        <v>125</v>
      </c>
      <c r="B120" s="146">
        <v>126</v>
      </c>
      <c r="C120" t="s">
        <v>581</v>
      </c>
    </row>
    <row r="121" spans="1:3" ht="15">
      <c r="A121" s="5" t="s">
        <v>126</v>
      </c>
      <c r="B121" s="146">
        <v>127</v>
      </c>
      <c r="C121" t="s">
        <v>582</v>
      </c>
    </row>
    <row r="122" spans="1:3" ht="15">
      <c r="A122" s="5" t="s">
        <v>127</v>
      </c>
      <c r="B122" s="146">
        <v>128</v>
      </c>
      <c r="C122" t="s">
        <v>583</v>
      </c>
    </row>
    <row r="123" spans="1:3" ht="15">
      <c r="A123" s="5" t="s">
        <v>128</v>
      </c>
      <c r="B123" s="146">
        <v>130</v>
      </c>
      <c r="C123" t="s">
        <v>584</v>
      </c>
    </row>
    <row r="124" spans="1:3" ht="15">
      <c r="A124" s="5" t="s">
        <v>442</v>
      </c>
      <c r="B124" s="146">
        <v>131</v>
      </c>
      <c r="C124" t="s">
        <v>585</v>
      </c>
    </row>
    <row r="125" spans="1:3" ht="15">
      <c r="A125" s="5" t="s">
        <v>129</v>
      </c>
      <c r="B125" s="146">
        <v>132</v>
      </c>
      <c r="C125" t="s">
        <v>586</v>
      </c>
    </row>
    <row r="126" spans="1:3" ht="15">
      <c r="A126" s="5" t="s">
        <v>130</v>
      </c>
      <c r="B126" s="146">
        <v>134</v>
      </c>
      <c r="C126" t="s">
        <v>587</v>
      </c>
    </row>
    <row r="127" spans="1:3" ht="15">
      <c r="A127" s="5" t="s">
        <v>131</v>
      </c>
      <c r="B127" s="146">
        <v>135</v>
      </c>
      <c r="C127" t="s">
        <v>588</v>
      </c>
    </row>
    <row r="128" spans="1:3" ht="15">
      <c r="A128" s="5" t="s">
        <v>132</v>
      </c>
      <c r="B128" s="146">
        <v>136</v>
      </c>
      <c r="C128" t="s">
        <v>589</v>
      </c>
    </row>
    <row r="129" spans="1:3" ht="15">
      <c r="A129" s="5" t="s">
        <v>133</v>
      </c>
      <c r="B129" s="146">
        <v>137</v>
      </c>
      <c r="C129" t="s">
        <v>590</v>
      </c>
    </row>
    <row r="130" spans="1:3" ht="15">
      <c r="A130" s="5" t="s">
        <v>433</v>
      </c>
      <c r="B130" s="146">
        <v>138</v>
      </c>
      <c r="C130" t="s">
        <v>591</v>
      </c>
    </row>
    <row r="131" spans="1:3" ht="15">
      <c r="A131" s="5" t="s">
        <v>134</v>
      </c>
      <c r="B131" s="146">
        <v>139</v>
      </c>
      <c r="C131" t="s">
        <v>592</v>
      </c>
    </row>
    <row r="132" spans="1:3" ht="15">
      <c r="A132" s="5" t="s">
        <v>434</v>
      </c>
      <c r="B132" s="146">
        <v>140</v>
      </c>
      <c r="C132" t="s">
        <v>593</v>
      </c>
    </row>
    <row r="133" spans="1:3" ht="15">
      <c r="A133" s="5" t="s">
        <v>135</v>
      </c>
      <c r="B133" s="146">
        <v>142</v>
      </c>
      <c r="C133" t="s">
        <v>594</v>
      </c>
    </row>
    <row r="134" spans="1:3" ht="15">
      <c r="A134" s="5" t="s">
        <v>136</v>
      </c>
      <c r="B134" s="146">
        <v>143</v>
      </c>
      <c r="C134" t="s">
        <v>595</v>
      </c>
    </row>
    <row r="135" spans="1:3" ht="15">
      <c r="A135" s="5" t="s">
        <v>137</v>
      </c>
      <c r="B135" s="146">
        <v>144</v>
      </c>
      <c r="C135" t="s">
        <v>596</v>
      </c>
    </row>
    <row r="136" spans="1:3" ht="15">
      <c r="A136" s="5" t="s">
        <v>138</v>
      </c>
      <c r="B136" s="146">
        <v>202</v>
      </c>
      <c r="C136" t="s">
        <v>597</v>
      </c>
    </row>
    <row r="137" spans="1:3" ht="15">
      <c r="A137" s="5" t="s">
        <v>139</v>
      </c>
      <c r="B137" s="146">
        <v>207</v>
      </c>
      <c r="C137" t="s">
        <v>598</v>
      </c>
    </row>
  </sheetData>
  <sheetProtection/>
  <printOptions/>
  <pageMargins left="0.75" right="0.75" top="1" bottom="1" header="0.5" footer="0.5"/>
  <pageSetup horizontalDpi="1200" verticalDpi="1200" orientation="portrait" r:id="rId1"/>
</worksheet>
</file>

<file path=xl/worksheets/sheet6.xml><?xml version="1.0" encoding="utf-8"?>
<worksheet xmlns="http://schemas.openxmlformats.org/spreadsheetml/2006/main" xmlns:r="http://schemas.openxmlformats.org/officeDocument/2006/relationships">
  <sheetPr codeName="Sheet8"/>
  <dimension ref="A1:AF594"/>
  <sheetViews>
    <sheetView zoomScale="75" zoomScaleNormal="75" workbookViewId="0" topLeftCell="A1">
      <pane xSplit="1" ySplit="1" topLeftCell="B2" activePane="bottomRight" state="frozen"/>
      <selection pane="topLeft" activeCell="A1" sqref="A1"/>
      <selection pane="topRight" activeCell="B1" sqref="B1"/>
      <selection pane="bottomLeft" activeCell="A2" sqref="A2"/>
      <selection pane="bottomRight" activeCell="AF3" sqref="AF3:AF138"/>
    </sheetView>
  </sheetViews>
  <sheetFormatPr defaultColWidth="9.140625" defaultRowHeight="12.75"/>
  <cols>
    <col min="1" max="1" width="6.57421875" style="124" bestFit="1" customWidth="1"/>
    <col min="2" max="2" width="21.421875" style="124" customWidth="1"/>
    <col min="3" max="6" width="16.7109375" style="116" customWidth="1"/>
    <col min="7" max="7" width="19.8515625" style="116" customWidth="1"/>
    <col min="8" max="8" width="18.421875" style="116" customWidth="1"/>
    <col min="9" max="9" width="17.8515625" style="116" customWidth="1"/>
    <col min="10" max="12" width="16.7109375" style="116" customWidth="1"/>
    <col min="13" max="13" width="19.140625" style="116" customWidth="1"/>
    <col min="14" max="14" width="18.57421875" style="116" customWidth="1"/>
    <col min="15" max="15" width="20.140625" style="116" bestFit="1" customWidth="1"/>
    <col min="16" max="16" width="20.00390625" style="119" bestFit="1" customWidth="1"/>
    <col min="17" max="17" width="18.140625" style="0" customWidth="1"/>
    <col min="18" max="18" width="13.140625" style="116" customWidth="1"/>
    <col min="19" max="19" width="20.57421875" style="0" customWidth="1"/>
    <col min="20" max="20" width="21.140625" style="0" customWidth="1"/>
    <col min="22" max="24" width="14.7109375" style="116" customWidth="1"/>
    <col min="25" max="25" width="2.8515625" style="116" customWidth="1"/>
    <col min="26" max="28" width="14.7109375" style="116" customWidth="1"/>
    <col min="29" max="29" width="3.421875" style="116" customWidth="1"/>
    <col min="30" max="53" width="14.7109375" style="116" customWidth="1"/>
    <col min="54" max="16384" width="9.140625" style="116" customWidth="1"/>
  </cols>
  <sheetData>
    <row r="1" spans="1:32" s="112" customFormat="1" ht="13.5" thickBot="1">
      <c r="A1" s="110" t="s">
        <v>443</v>
      </c>
      <c r="B1" s="111" t="s">
        <v>444</v>
      </c>
      <c r="C1" s="112" t="s">
        <v>445</v>
      </c>
      <c r="D1" s="112" t="s">
        <v>446</v>
      </c>
      <c r="E1" s="112" t="s">
        <v>447</v>
      </c>
      <c r="F1" s="112" t="s">
        <v>448</v>
      </c>
      <c r="G1" s="112" t="s">
        <v>449</v>
      </c>
      <c r="H1" s="112" t="s">
        <v>450</v>
      </c>
      <c r="I1" s="112" t="s">
        <v>451</v>
      </c>
      <c r="J1" s="112" t="s">
        <v>452</v>
      </c>
      <c r="K1" s="112" t="s">
        <v>453</v>
      </c>
      <c r="L1" s="112" t="s">
        <v>454</v>
      </c>
      <c r="M1" s="112" t="s">
        <v>455</v>
      </c>
      <c r="N1" s="112" t="s">
        <v>456</v>
      </c>
      <c r="O1" s="112" t="s">
        <v>457</v>
      </c>
      <c r="P1" s="113" t="s">
        <v>458</v>
      </c>
      <c r="Q1" s="126" t="s">
        <v>641</v>
      </c>
      <c r="R1" s="112" t="s">
        <v>636</v>
      </c>
      <c r="S1" s="126" t="s">
        <v>628</v>
      </c>
      <c r="T1" s="126" t="s">
        <v>642</v>
      </c>
      <c r="U1" s="138" t="s">
        <v>647</v>
      </c>
      <c r="Z1" s="263" t="s">
        <v>643</v>
      </c>
      <c r="AA1" s="263"/>
      <c r="AB1" s="263"/>
      <c r="AD1" s="263" t="s">
        <v>644</v>
      </c>
      <c r="AE1" s="263"/>
      <c r="AF1" s="263"/>
    </row>
    <row r="2" spans="1:32" ht="12.75">
      <c r="A2" s="114">
        <v>1</v>
      </c>
      <c r="B2" s="115">
        <v>26599054.1</v>
      </c>
      <c r="C2" s="116">
        <v>205013.89</v>
      </c>
      <c r="D2" s="116">
        <v>84510</v>
      </c>
      <c r="E2" s="116">
        <v>241126</v>
      </c>
      <c r="F2" s="116">
        <v>0</v>
      </c>
      <c r="G2" s="117">
        <v>26478431.990000002</v>
      </c>
      <c r="H2" s="116">
        <v>4993860.96</v>
      </c>
      <c r="I2" s="116">
        <v>6022390.820000001</v>
      </c>
      <c r="J2" s="116">
        <v>0</v>
      </c>
      <c r="K2" s="116">
        <v>0</v>
      </c>
      <c r="L2" s="116">
        <v>27090.2</v>
      </c>
      <c r="M2" s="118">
        <v>5995300.620000001</v>
      </c>
      <c r="N2" s="117">
        <v>14617741.879999995</v>
      </c>
      <c r="O2" s="119">
        <v>0</v>
      </c>
      <c r="P2" s="119">
        <v>52085335.45</v>
      </c>
      <c r="Q2" s="127">
        <v>4951.733160000001</v>
      </c>
      <c r="S2" s="159">
        <f>VLOOKUP(A2,$Z$3:$AB$138,3,FALSE)</f>
        <v>4823450.720159898</v>
      </c>
      <c r="T2" s="127">
        <f>VLOOKUP($A2,$AD$3:$AF$138,3,FALSE)</f>
        <v>5595369.464579459</v>
      </c>
      <c r="Z2" s="116" t="s">
        <v>629</v>
      </c>
      <c r="AA2" s="116" t="s">
        <v>288</v>
      </c>
      <c r="AB2" s="116" t="s">
        <v>630</v>
      </c>
      <c r="AD2" s="116" t="s">
        <v>629</v>
      </c>
      <c r="AE2" s="116" t="s">
        <v>288</v>
      </c>
      <c r="AF2" s="116" t="s">
        <v>630</v>
      </c>
    </row>
    <row r="3" spans="1:32" ht="12.75">
      <c r="A3" s="114">
        <v>2</v>
      </c>
      <c r="B3" s="115">
        <v>34142013.31999999</v>
      </c>
      <c r="C3" s="116">
        <v>438457.44</v>
      </c>
      <c r="D3" s="116">
        <v>498169.05</v>
      </c>
      <c r="E3" s="116">
        <v>11325.37</v>
      </c>
      <c r="F3" s="116">
        <v>1455982.3</v>
      </c>
      <c r="G3" s="117">
        <v>32614994.039999995</v>
      </c>
      <c r="H3" s="116">
        <v>11853401.06</v>
      </c>
      <c r="I3" s="116">
        <v>6511617.720000001</v>
      </c>
      <c r="J3" s="116">
        <v>-574543.07</v>
      </c>
      <c r="K3" s="116">
        <v>-812439.26</v>
      </c>
      <c r="L3" s="116">
        <v>147368.77</v>
      </c>
      <c r="M3" s="118">
        <v>6602145.140000001</v>
      </c>
      <c r="N3" s="117">
        <v>105118859.51</v>
      </c>
      <c r="O3" s="119">
        <v>117719.52</v>
      </c>
      <c r="P3" s="119">
        <v>156189399.75</v>
      </c>
      <c r="Q3" s="128">
        <v>12477.4746</v>
      </c>
      <c r="S3" s="160">
        <f aca="true" t="shared" si="0" ref="S3:S10">VLOOKUP(A3,$Z$3:$AB$138,3,FALSE)</f>
        <v>11420349.601467526</v>
      </c>
      <c r="T3" s="128">
        <f aca="true" t="shared" si="1" ref="T3:T66">VLOOKUP($A3,$AD$3:$AF$138,3,FALSE)</f>
        <v>13180503.969568953</v>
      </c>
      <c r="Z3" s="116">
        <v>1</v>
      </c>
      <c r="AA3" s="116" t="s">
        <v>297</v>
      </c>
      <c r="AB3" s="116">
        <v>4823450.720159898</v>
      </c>
      <c r="AD3" s="116">
        <v>1</v>
      </c>
      <c r="AE3" s="116" t="s">
        <v>297</v>
      </c>
      <c r="AF3" s="116">
        <v>5595369.464579459</v>
      </c>
    </row>
    <row r="4" spans="1:32" ht="12.75">
      <c r="A4" s="114">
        <v>3</v>
      </c>
      <c r="B4" s="115">
        <v>16230490.83</v>
      </c>
      <c r="C4" s="116">
        <v>620450.96</v>
      </c>
      <c r="D4" s="116">
        <v>0</v>
      </c>
      <c r="E4" s="116">
        <v>409265.76</v>
      </c>
      <c r="F4" s="116">
        <v>0</v>
      </c>
      <c r="G4" s="117">
        <v>16441676.03</v>
      </c>
      <c r="H4" s="116">
        <v>2398443.72</v>
      </c>
      <c r="I4" s="116">
        <v>2216145.13</v>
      </c>
      <c r="J4" s="116">
        <v>0</v>
      </c>
      <c r="K4" s="116">
        <v>0</v>
      </c>
      <c r="L4" s="116">
        <v>46134.17</v>
      </c>
      <c r="M4" s="118">
        <v>2170010.96</v>
      </c>
      <c r="N4" s="117">
        <v>10776258.84</v>
      </c>
      <c r="O4" s="119">
        <v>16764.98</v>
      </c>
      <c r="P4" s="119">
        <v>31786389.55</v>
      </c>
      <c r="Q4" s="128">
        <v>2881.69918</v>
      </c>
      <c r="S4" s="160">
        <f t="shared" si="0"/>
        <v>2316599.3017937327</v>
      </c>
      <c r="T4" s="128">
        <f t="shared" si="1"/>
        <v>2522871.9002934764</v>
      </c>
      <c r="Z4" s="116">
        <v>2</v>
      </c>
      <c r="AA4" s="116" t="s">
        <v>298</v>
      </c>
      <c r="AB4" s="116">
        <v>11420349.601467526</v>
      </c>
      <c r="AD4" s="116">
        <v>2</v>
      </c>
      <c r="AE4" s="116" t="s">
        <v>298</v>
      </c>
      <c r="AF4" s="116">
        <v>13180503.969568953</v>
      </c>
    </row>
    <row r="5" spans="1:32" ht="12.75">
      <c r="A5" s="114">
        <v>4</v>
      </c>
      <c r="B5" s="115">
        <v>8878160.199999997</v>
      </c>
      <c r="C5" s="116">
        <v>0</v>
      </c>
      <c r="D5" s="116">
        <v>0</v>
      </c>
      <c r="E5" s="116">
        <v>0</v>
      </c>
      <c r="F5" s="116">
        <v>0</v>
      </c>
      <c r="G5" s="117">
        <v>8878160.199999997</v>
      </c>
      <c r="H5" s="116">
        <v>1600507.36</v>
      </c>
      <c r="I5" s="116">
        <v>1240600.77</v>
      </c>
      <c r="J5" s="116">
        <v>21289.88</v>
      </c>
      <c r="K5" s="116">
        <v>0</v>
      </c>
      <c r="L5" s="116">
        <v>0</v>
      </c>
      <c r="M5" s="118">
        <v>1261890.65</v>
      </c>
      <c r="N5" s="117">
        <v>4842999.79</v>
      </c>
      <c r="O5" s="119">
        <v>0</v>
      </c>
      <c r="P5" s="119">
        <v>16583558</v>
      </c>
      <c r="Q5" s="128">
        <v>1847.30112</v>
      </c>
      <c r="S5" s="160">
        <f t="shared" si="0"/>
        <v>1545891.7079924683</v>
      </c>
      <c r="T5" s="128">
        <f t="shared" si="1"/>
        <v>1534747.0726785313</v>
      </c>
      <c r="Z5" s="116">
        <v>3</v>
      </c>
      <c r="AA5" s="116" t="s">
        <v>299</v>
      </c>
      <c r="AB5" s="116">
        <v>2316599.3017937327</v>
      </c>
      <c r="AD5" s="116">
        <v>3</v>
      </c>
      <c r="AE5" s="116" t="s">
        <v>299</v>
      </c>
      <c r="AF5" s="116">
        <v>2522871.9002934764</v>
      </c>
    </row>
    <row r="6" spans="1:32" ht="12.75">
      <c r="A6" s="114">
        <v>5</v>
      </c>
      <c r="B6" s="115">
        <v>23551347.560000006</v>
      </c>
      <c r="C6" s="116">
        <v>100000</v>
      </c>
      <c r="D6" s="116">
        <v>0</v>
      </c>
      <c r="E6" s="116">
        <v>167941</v>
      </c>
      <c r="F6" s="116">
        <v>0</v>
      </c>
      <c r="G6" s="117">
        <v>23483406.560000006</v>
      </c>
      <c r="H6" s="116">
        <v>4267762.1</v>
      </c>
      <c r="I6" s="116">
        <v>4001105.39</v>
      </c>
      <c r="J6" s="116">
        <v>0</v>
      </c>
      <c r="K6" s="116">
        <v>0</v>
      </c>
      <c r="L6" s="116">
        <v>149665.96</v>
      </c>
      <c r="M6" s="118">
        <v>3851439.43</v>
      </c>
      <c r="N6" s="117">
        <v>11565587.79</v>
      </c>
      <c r="O6" s="119">
        <v>298121.86</v>
      </c>
      <c r="P6" s="119">
        <v>43168195.88</v>
      </c>
      <c r="Q6" s="128">
        <v>4627.25455</v>
      </c>
      <c r="S6" s="160">
        <f t="shared" si="0"/>
        <v>4122129.192402697</v>
      </c>
      <c r="T6" s="128">
        <f t="shared" si="1"/>
        <v>4702603.187957751</v>
      </c>
      <c r="Z6" s="116">
        <v>4</v>
      </c>
      <c r="AA6" s="116" t="s">
        <v>300</v>
      </c>
      <c r="AB6" s="116">
        <v>1545891.7079924683</v>
      </c>
      <c r="AD6" s="116">
        <v>4</v>
      </c>
      <c r="AE6" s="116" t="s">
        <v>300</v>
      </c>
      <c r="AF6" s="116">
        <v>1534747.0726785313</v>
      </c>
    </row>
    <row r="7" spans="1:32" ht="12.75">
      <c r="A7" s="114">
        <v>6</v>
      </c>
      <c r="B7" s="115">
        <v>11718619.629999997</v>
      </c>
      <c r="C7" s="116">
        <v>0</v>
      </c>
      <c r="D7" s="116">
        <v>0</v>
      </c>
      <c r="E7" s="116">
        <v>0</v>
      </c>
      <c r="F7" s="116">
        <v>0</v>
      </c>
      <c r="G7" s="117">
        <v>11718619.629999997</v>
      </c>
      <c r="H7" s="116">
        <v>2012993.32</v>
      </c>
      <c r="I7" s="116">
        <v>1827896.17</v>
      </c>
      <c r="J7" s="116">
        <v>0</v>
      </c>
      <c r="K7" s="116">
        <v>0</v>
      </c>
      <c r="L7" s="116">
        <v>18500</v>
      </c>
      <c r="M7" s="118">
        <v>1809396.17</v>
      </c>
      <c r="N7" s="117">
        <v>4548850.61</v>
      </c>
      <c r="O7" s="119">
        <v>3600.05</v>
      </c>
      <c r="P7" s="119">
        <v>20089859.73</v>
      </c>
      <c r="Q7" s="128">
        <v>2201.68753</v>
      </c>
      <c r="S7" s="160">
        <f t="shared" si="0"/>
        <v>1944302.022697091</v>
      </c>
      <c r="T7" s="128">
        <f t="shared" si="1"/>
        <v>1908672.7293291716</v>
      </c>
      <c r="Z7" s="116">
        <v>5</v>
      </c>
      <c r="AA7" s="116" t="s">
        <v>301</v>
      </c>
      <c r="AB7" s="116">
        <v>4122129.192402697</v>
      </c>
      <c r="AD7" s="116">
        <v>5</v>
      </c>
      <c r="AE7" s="116" t="s">
        <v>301</v>
      </c>
      <c r="AF7" s="116">
        <v>4702603.187957751</v>
      </c>
    </row>
    <row r="8" spans="1:32" ht="12.75">
      <c r="A8" s="114">
        <v>7</v>
      </c>
      <c r="B8" s="115">
        <v>30556528.309999995</v>
      </c>
      <c r="C8" s="116">
        <v>0</v>
      </c>
      <c r="D8" s="116">
        <v>0</v>
      </c>
      <c r="E8" s="116">
        <v>1376407</v>
      </c>
      <c r="F8" s="116">
        <v>0</v>
      </c>
      <c r="G8" s="117">
        <v>29180121.309999995</v>
      </c>
      <c r="H8" s="116">
        <v>16883343.92</v>
      </c>
      <c r="I8" s="116">
        <v>12977364.98</v>
      </c>
      <c r="J8" s="116">
        <v>1474137</v>
      </c>
      <c r="K8" s="116">
        <v>1656103</v>
      </c>
      <c r="L8" s="116">
        <v>257492.52</v>
      </c>
      <c r="M8" s="118">
        <v>12537906.46</v>
      </c>
      <c r="N8" s="117">
        <v>305882378.67</v>
      </c>
      <c r="O8" s="119">
        <v>140145.52</v>
      </c>
      <c r="P8" s="119">
        <v>364483750.36</v>
      </c>
      <c r="Q8" s="128">
        <v>17940.001539999997</v>
      </c>
      <c r="S8" s="160">
        <f t="shared" si="0"/>
        <v>16307217.693818234</v>
      </c>
      <c r="T8" s="128">
        <f t="shared" si="1"/>
        <v>17310204.99683506</v>
      </c>
      <c r="Z8" s="116">
        <v>6</v>
      </c>
      <c r="AA8" s="116" t="s">
        <v>302</v>
      </c>
      <c r="AB8" s="116">
        <v>1944302.022697091</v>
      </c>
      <c r="AD8" s="116">
        <v>6</v>
      </c>
      <c r="AE8" s="116" t="s">
        <v>302</v>
      </c>
      <c r="AF8" s="116">
        <v>1908672.7293291716</v>
      </c>
    </row>
    <row r="9" spans="1:32" ht="12.75">
      <c r="A9" s="114">
        <v>8</v>
      </c>
      <c r="B9" s="115">
        <v>50485046.839999996</v>
      </c>
      <c r="C9" s="116">
        <v>0</v>
      </c>
      <c r="D9" s="116">
        <v>0</v>
      </c>
      <c r="E9" s="116">
        <v>274011</v>
      </c>
      <c r="F9" s="116">
        <v>367440</v>
      </c>
      <c r="G9" s="117">
        <v>49843595.839999996</v>
      </c>
      <c r="H9" s="116">
        <v>10842046.74</v>
      </c>
      <c r="I9" s="116">
        <v>6857706.470000001</v>
      </c>
      <c r="J9" s="116">
        <v>-15196.23</v>
      </c>
      <c r="K9" s="116">
        <v>-15947.95</v>
      </c>
      <c r="L9" s="116">
        <v>0</v>
      </c>
      <c r="M9" s="118">
        <v>6858458.19</v>
      </c>
      <c r="N9" s="117">
        <v>33199985.27000001</v>
      </c>
      <c r="O9" s="119">
        <v>235742.11</v>
      </c>
      <c r="P9" s="119">
        <v>100744086.04</v>
      </c>
      <c r="Q9" s="128">
        <v>10790.21202</v>
      </c>
      <c r="S9" s="160">
        <f t="shared" si="0"/>
        <v>10472073.365531992</v>
      </c>
      <c r="T9" s="128">
        <f t="shared" si="1"/>
        <v>10643365.829363104</v>
      </c>
      <c r="Z9" s="116">
        <v>7</v>
      </c>
      <c r="AA9" s="116" t="s">
        <v>303</v>
      </c>
      <c r="AB9" s="116">
        <v>16307217.693818234</v>
      </c>
      <c r="AD9" s="116">
        <v>7</v>
      </c>
      <c r="AE9" s="116" t="s">
        <v>303</v>
      </c>
      <c r="AF9" s="116">
        <v>17310204.99683506</v>
      </c>
    </row>
    <row r="10" spans="1:32" ht="12.75">
      <c r="A10" s="114">
        <v>9</v>
      </c>
      <c r="B10" s="115">
        <v>1327446.56</v>
      </c>
      <c r="C10" s="116">
        <v>0</v>
      </c>
      <c r="D10" s="116">
        <v>0</v>
      </c>
      <c r="E10" s="116">
        <v>17600</v>
      </c>
      <c r="F10" s="116">
        <v>0</v>
      </c>
      <c r="G10" s="117">
        <v>1309846.56</v>
      </c>
      <c r="H10" s="116">
        <v>726098.9</v>
      </c>
      <c r="I10" s="116">
        <v>666531.13</v>
      </c>
      <c r="J10" s="116">
        <v>0</v>
      </c>
      <c r="K10" s="116">
        <v>0</v>
      </c>
      <c r="L10" s="116">
        <v>0</v>
      </c>
      <c r="M10" s="118">
        <v>666531.13</v>
      </c>
      <c r="N10" s="117">
        <v>7353371.620000001</v>
      </c>
      <c r="O10" s="119">
        <v>0</v>
      </c>
      <c r="P10" s="119">
        <v>10055848.21</v>
      </c>
      <c r="Q10" s="128">
        <v>715.4827300000001</v>
      </c>
      <c r="S10" s="160">
        <f t="shared" si="0"/>
        <v>701321.527757201</v>
      </c>
      <c r="T10" s="128">
        <f t="shared" si="1"/>
        <v>579659.8532817153</v>
      </c>
      <c r="Z10" s="116">
        <v>8</v>
      </c>
      <c r="AA10" s="116" t="s">
        <v>304</v>
      </c>
      <c r="AB10" s="116">
        <v>10472073.365531992</v>
      </c>
      <c r="AD10" s="116">
        <v>8</v>
      </c>
      <c r="AE10" s="116" t="s">
        <v>304</v>
      </c>
      <c r="AF10" s="116">
        <v>10643365.829363104</v>
      </c>
    </row>
    <row r="11" spans="1:32" ht="12.75">
      <c r="A11" s="114">
        <v>10</v>
      </c>
      <c r="B11" s="115">
        <v>45028592.21000001</v>
      </c>
      <c r="C11" s="116">
        <v>0</v>
      </c>
      <c r="D11" s="116">
        <v>0</v>
      </c>
      <c r="E11" s="116">
        <v>231568</v>
      </c>
      <c r="F11" s="116">
        <v>0</v>
      </c>
      <c r="G11" s="117">
        <v>44797024.21000001</v>
      </c>
      <c r="H11" s="116">
        <v>9726765.48</v>
      </c>
      <c r="I11" s="116">
        <v>6508350.509999999</v>
      </c>
      <c r="J11" s="116">
        <v>0</v>
      </c>
      <c r="K11" s="116">
        <v>0</v>
      </c>
      <c r="L11" s="116">
        <v>0</v>
      </c>
      <c r="M11" s="118">
        <v>6508350.509999999</v>
      </c>
      <c r="N11" s="117">
        <v>33167442.029999994</v>
      </c>
      <c r="O11" s="119">
        <v>6141745.56</v>
      </c>
      <c r="P11" s="119">
        <v>94199582.23</v>
      </c>
      <c r="Q11" s="128">
        <f>9897.99436+R132</f>
        <v>10761.633230000001</v>
      </c>
      <c r="S11" s="160">
        <f>VLOOKUP(A11,$Z$3:$AB$138,3,FALSE)+VLOOKUP(140,$Z$3:$AB$138,3,FALSE)</f>
        <v>9373087.609801823</v>
      </c>
      <c r="T11" s="128">
        <f>VLOOKUP($A11,$AD$3:$AF$138,3,FALSE)+VLOOKUP(140,$AD$3:$AF$138,3,FALSE)</f>
        <v>9237765.770628165</v>
      </c>
      <c r="Z11" s="116">
        <v>9</v>
      </c>
      <c r="AA11" s="116" t="s">
        <v>305</v>
      </c>
      <c r="AB11" s="116">
        <v>701321.527757201</v>
      </c>
      <c r="AD11" s="116">
        <v>9</v>
      </c>
      <c r="AE11" s="116" t="s">
        <v>305</v>
      </c>
      <c r="AF11" s="116">
        <v>579659.8532817153</v>
      </c>
    </row>
    <row r="12" spans="1:32" ht="12.75">
      <c r="A12" s="114">
        <v>11</v>
      </c>
      <c r="B12" s="115">
        <v>4913181.49</v>
      </c>
      <c r="C12" s="116">
        <v>232641.86</v>
      </c>
      <c r="D12" s="116">
        <v>188533.14</v>
      </c>
      <c r="E12" s="116">
        <v>0</v>
      </c>
      <c r="F12" s="116">
        <v>0</v>
      </c>
      <c r="G12" s="117">
        <v>4957290.21</v>
      </c>
      <c r="H12" s="116">
        <v>777080.3</v>
      </c>
      <c r="I12" s="116">
        <v>613775.15</v>
      </c>
      <c r="J12" s="116">
        <v>0</v>
      </c>
      <c r="K12" s="116">
        <v>0</v>
      </c>
      <c r="L12" s="116">
        <v>0</v>
      </c>
      <c r="M12" s="118">
        <v>613775.15</v>
      </c>
      <c r="N12" s="117">
        <v>2058339.95</v>
      </c>
      <c r="O12" s="119">
        <v>0</v>
      </c>
      <c r="P12" s="119">
        <v>8406485.61</v>
      </c>
      <c r="Q12" s="128">
        <v>903.80543</v>
      </c>
      <c r="S12" s="160">
        <f>VLOOKUP(A12,$Z$3:$AB$138,3,FALSE)</f>
        <v>750563.2520465363</v>
      </c>
      <c r="T12" s="128">
        <f t="shared" si="1"/>
        <v>758363.2795525033</v>
      </c>
      <c r="Z12" s="116">
        <v>10</v>
      </c>
      <c r="AA12" s="116" t="s">
        <v>306</v>
      </c>
      <c r="AB12" s="116">
        <v>8699817.606551107</v>
      </c>
      <c r="AD12" s="116">
        <v>10</v>
      </c>
      <c r="AE12" s="116" t="s">
        <v>306</v>
      </c>
      <c r="AF12" s="116">
        <v>8560494.802156525</v>
      </c>
    </row>
    <row r="13" spans="1:32" ht="12.75">
      <c r="A13" s="114">
        <v>12</v>
      </c>
      <c r="B13" s="115">
        <v>20541026.950000003</v>
      </c>
      <c r="C13" s="116">
        <v>0</v>
      </c>
      <c r="D13" s="116">
        <v>0</v>
      </c>
      <c r="E13" s="116">
        <v>357540.04</v>
      </c>
      <c r="F13" s="116">
        <v>0</v>
      </c>
      <c r="G13" s="117">
        <v>20183486.910000004</v>
      </c>
      <c r="H13" s="116">
        <v>4819727.43</v>
      </c>
      <c r="I13" s="116">
        <v>2224059.15</v>
      </c>
      <c r="J13" s="116">
        <v>0</v>
      </c>
      <c r="K13" s="116">
        <v>0</v>
      </c>
      <c r="L13" s="116">
        <v>64875.95</v>
      </c>
      <c r="M13" s="118">
        <v>2159183.2</v>
      </c>
      <c r="N13" s="117">
        <v>20118750.349999998</v>
      </c>
      <c r="O13" s="119">
        <v>6369</v>
      </c>
      <c r="P13" s="119">
        <v>47281147.89</v>
      </c>
      <c r="Q13" s="128">
        <v>4936.99986</v>
      </c>
      <c r="S13" s="160">
        <f aca="true" t="shared" si="2" ref="S13:S29">VLOOKUP(A13,$Z$3:$AB$138,3,FALSE)</f>
        <v>4643643.8178306585</v>
      </c>
      <c r="T13" s="128">
        <f t="shared" si="1"/>
        <v>4984924.567276306</v>
      </c>
      <c r="Z13" s="116">
        <v>11</v>
      </c>
      <c r="AA13" s="116" t="s">
        <v>307</v>
      </c>
      <c r="AB13" s="116">
        <v>750563.2520465363</v>
      </c>
      <c r="AD13" s="116">
        <v>11</v>
      </c>
      <c r="AE13" s="116" t="s">
        <v>307</v>
      </c>
      <c r="AF13" s="116">
        <v>758363.2795525033</v>
      </c>
    </row>
    <row r="14" spans="1:32" ht="12.75">
      <c r="A14" s="114">
        <v>13</v>
      </c>
      <c r="B14" s="115">
        <v>13112756.66</v>
      </c>
      <c r="C14" s="116">
        <v>0</v>
      </c>
      <c r="D14" s="116">
        <v>0</v>
      </c>
      <c r="E14" s="116">
        <v>0</v>
      </c>
      <c r="F14" s="116">
        <v>0</v>
      </c>
      <c r="G14" s="117">
        <v>13112756.66</v>
      </c>
      <c r="H14" s="116">
        <v>2285963.22</v>
      </c>
      <c r="I14" s="116">
        <v>2985038.38</v>
      </c>
      <c r="J14" s="116">
        <v>0</v>
      </c>
      <c r="K14" s="116">
        <v>0</v>
      </c>
      <c r="L14" s="116">
        <v>0</v>
      </c>
      <c r="M14" s="118">
        <v>2985038.38</v>
      </c>
      <c r="N14" s="117">
        <v>4944719.38</v>
      </c>
      <c r="O14" s="119">
        <v>0</v>
      </c>
      <c r="P14" s="119">
        <v>23328477.64</v>
      </c>
      <c r="Q14" s="128">
        <v>2143.24904</v>
      </c>
      <c r="S14" s="160">
        <f t="shared" si="2"/>
        <v>2202448.0318502737</v>
      </c>
      <c r="T14" s="128">
        <f t="shared" si="1"/>
        <v>2072359.0609553556</v>
      </c>
      <c r="Z14" s="116">
        <v>12</v>
      </c>
      <c r="AA14" s="116" t="s">
        <v>308</v>
      </c>
      <c r="AB14" s="116">
        <v>4643643.8178306585</v>
      </c>
      <c r="AD14" s="116">
        <v>12</v>
      </c>
      <c r="AE14" s="116" t="s">
        <v>308</v>
      </c>
      <c r="AF14" s="116">
        <v>4984924.567276306</v>
      </c>
    </row>
    <row r="15" spans="1:32" ht="12.75">
      <c r="A15" s="114">
        <v>14</v>
      </c>
      <c r="B15" s="115">
        <v>18696465.71</v>
      </c>
      <c r="C15" s="116">
        <v>0</v>
      </c>
      <c r="D15" s="116">
        <v>0</v>
      </c>
      <c r="E15" s="116">
        <v>0</v>
      </c>
      <c r="F15" s="116">
        <v>0</v>
      </c>
      <c r="G15" s="117">
        <v>18696465.71</v>
      </c>
      <c r="H15" s="116">
        <v>3012537.92</v>
      </c>
      <c r="I15" s="116">
        <v>4587342.05</v>
      </c>
      <c r="J15" s="116">
        <v>0</v>
      </c>
      <c r="K15" s="116">
        <v>0</v>
      </c>
      <c r="L15" s="116">
        <v>0</v>
      </c>
      <c r="M15" s="118">
        <v>4587342.05</v>
      </c>
      <c r="N15" s="117">
        <v>10187275.469999995</v>
      </c>
      <c r="O15" s="119">
        <v>0</v>
      </c>
      <c r="P15" s="119">
        <v>36483621.15</v>
      </c>
      <c r="Q15" s="128">
        <v>3341.28604</v>
      </c>
      <c r="S15" s="160">
        <f t="shared" si="2"/>
        <v>2909738.253460727</v>
      </c>
      <c r="T15" s="128">
        <f t="shared" si="1"/>
        <v>2876524.479173901</v>
      </c>
      <c r="Z15" s="116">
        <v>13</v>
      </c>
      <c r="AA15" s="116" t="s">
        <v>309</v>
      </c>
      <c r="AB15" s="116">
        <v>2202448.0318502737</v>
      </c>
      <c r="AD15" s="116">
        <v>13</v>
      </c>
      <c r="AE15" s="116" t="s">
        <v>309</v>
      </c>
      <c r="AF15" s="116">
        <v>2072359.0609553556</v>
      </c>
    </row>
    <row r="16" spans="1:32" ht="12.75">
      <c r="A16" s="114">
        <v>15</v>
      </c>
      <c r="B16" s="115">
        <v>11824932.33</v>
      </c>
      <c r="C16" s="116">
        <v>822600.19</v>
      </c>
      <c r="D16" s="116">
        <v>988799.93</v>
      </c>
      <c r="E16" s="116">
        <v>94017.99</v>
      </c>
      <c r="F16" s="116">
        <v>0</v>
      </c>
      <c r="G16" s="117">
        <v>11564714.6</v>
      </c>
      <c r="H16" s="116">
        <v>2194517.95</v>
      </c>
      <c r="I16" s="116">
        <v>2194071.18</v>
      </c>
      <c r="J16" s="116">
        <v>0</v>
      </c>
      <c r="K16" s="116">
        <v>0</v>
      </c>
      <c r="L16" s="116">
        <v>0</v>
      </c>
      <c r="M16" s="118">
        <v>2194071.18</v>
      </c>
      <c r="N16" s="117">
        <v>5785786.27</v>
      </c>
      <c r="O16" s="119">
        <v>0</v>
      </c>
      <c r="P16" s="119">
        <v>21739090</v>
      </c>
      <c r="Q16" s="128">
        <v>2000.1887000000002</v>
      </c>
      <c r="S16" s="160">
        <f t="shared" si="2"/>
        <v>2119632.4046363914</v>
      </c>
      <c r="T16" s="128">
        <f t="shared" si="1"/>
        <v>1907171.0198647112</v>
      </c>
      <c r="Z16" s="116">
        <v>14</v>
      </c>
      <c r="AA16" s="116" t="s">
        <v>310</v>
      </c>
      <c r="AB16" s="116">
        <v>2909738.253460727</v>
      </c>
      <c r="AD16" s="116">
        <v>14</v>
      </c>
      <c r="AE16" s="116" t="s">
        <v>310</v>
      </c>
      <c r="AF16" s="116">
        <v>2876524.479173901</v>
      </c>
    </row>
    <row r="17" spans="1:32" ht="12.75">
      <c r="A17" s="114">
        <v>16</v>
      </c>
      <c r="B17" s="115">
        <v>41698797.69</v>
      </c>
      <c r="C17" s="116">
        <v>0</v>
      </c>
      <c r="D17" s="116">
        <v>0</v>
      </c>
      <c r="E17" s="116">
        <v>0</v>
      </c>
      <c r="F17" s="116">
        <v>0</v>
      </c>
      <c r="G17" s="117">
        <v>41698797.69</v>
      </c>
      <c r="H17" s="116">
        <v>8353213.34</v>
      </c>
      <c r="I17" s="116">
        <v>4927922.13</v>
      </c>
      <c r="J17" s="116">
        <v>0</v>
      </c>
      <c r="K17" s="116">
        <v>0</v>
      </c>
      <c r="L17" s="116">
        <v>0</v>
      </c>
      <c r="M17" s="118">
        <v>4927922.13</v>
      </c>
      <c r="N17" s="117">
        <v>19333576.68</v>
      </c>
      <c r="O17" s="119">
        <v>0</v>
      </c>
      <c r="P17" s="119">
        <v>74313509.84</v>
      </c>
      <c r="Q17" s="128">
        <v>8545.016650000001</v>
      </c>
      <c r="S17" s="160">
        <f t="shared" si="2"/>
        <v>8048037.574379709</v>
      </c>
      <c r="T17" s="128">
        <f t="shared" si="1"/>
        <v>8094214.01344157</v>
      </c>
      <c r="Z17" s="116">
        <v>15</v>
      </c>
      <c r="AA17" s="116" t="s">
        <v>311</v>
      </c>
      <c r="AB17" s="116">
        <v>2119632.4046363914</v>
      </c>
      <c r="AD17" s="116">
        <v>15</v>
      </c>
      <c r="AE17" s="116" t="s">
        <v>311</v>
      </c>
      <c r="AF17" s="116">
        <v>1907171.0198647112</v>
      </c>
    </row>
    <row r="18" spans="1:32" ht="12.75">
      <c r="A18" s="114">
        <v>17</v>
      </c>
      <c r="B18" s="115">
        <v>17890604.86</v>
      </c>
      <c r="C18" s="116">
        <v>0</v>
      </c>
      <c r="D18" s="116">
        <v>0</v>
      </c>
      <c r="E18" s="116">
        <v>301619.23</v>
      </c>
      <c r="F18" s="116">
        <v>0</v>
      </c>
      <c r="G18" s="117">
        <v>17588985.63</v>
      </c>
      <c r="H18" s="116">
        <v>4522669.1</v>
      </c>
      <c r="I18" s="116">
        <v>3060684.76</v>
      </c>
      <c r="J18" s="116">
        <v>0</v>
      </c>
      <c r="K18" s="116">
        <v>0</v>
      </c>
      <c r="L18" s="116">
        <v>38644.98</v>
      </c>
      <c r="M18" s="118">
        <v>3022039.78</v>
      </c>
      <c r="N18" s="117">
        <v>12754200.29</v>
      </c>
      <c r="O18" s="119">
        <v>0</v>
      </c>
      <c r="P18" s="119">
        <v>37887894.8</v>
      </c>
      <c r="Q18" s="128">
        <v>4051.34984</v>
      </c>
      <c r="S18" s="160">
        <f t="shared" si="2"/>
        <v>4368337.813849374</v>
      </c>
      <c r="T18" s="128">
        <f t="shared" si="1"/>
        <v>4367721.977383081</v>
      </c>
      <c r="Z18" s="116">
        <v>16</v>
      </c>
      <c r="AA18" s="116" t="s">
        <v>312</v>
      </c>
      <c r="AB18" s="116">
        <v>8048037.574379709</v>
      </c>
      <c r="AD18" s="116">
        <v>16</v>
      </c>
      <c r="AE18" s="116" t="s">
        <v>312</v>
      </c>
      <c r="AF18" s="116">
        <v>8094214.01344157</v>
      </c>
    </row>
    <row r="19" spans="1:32" ht="12.75">
      <c r="A19" s="114">
        <v>18</v>
      </c>
      <c r="B19" s="115">
        <v>20803537.77</v>
      </c>
      <c r="C19" s="116">
        <v>0</v>
      </c>
      <c r="D19" s="116">
        <v>600626.21</v>
      </c>
      <c r="E19" s="116">
        <v>791055</v>
      </c>
      <c r="F19" s="116">
        <v>238219.59</v>
      </c>
      <c r="G19" s="117">
        <v>19173636.97</v>
      </c>
      <c r="H19" s="116">
        <v>3832102.7</v>
      </c>
      <c r="I19" s="116">
        <v>5149477.28</v>
      </c>
      <c r="J19" s="116">
        <v>0</v>
      </c>
      <c r="K19" s="116">
        <v>0</v>
      </c>
      <c r="L19" s="116">
        <v>0</v>
      </c>
      <c r="M19" s="118">
        <v>5149477.28</v>
      </c>
      <c r="N19" s="117">
        <v>10482490.530000005</v>
      </c>
      <c r="O19" s="119">
        <v>39786.97</v>
      </c>
      <c r="P19" s="119">
        <v>38637707.480000004</v>
      </c>
      <c r="Q19" s="128">
        <v>3962.9777400000003</v>
      </c>
      <c r="S19" s="160">
        <f t="shared" si="2"/>
        <v>3701336.2757483763</v>
      </c>
      <c r="T19" s="128">
        <f t="shared" si="1"/>
        <v>3301508.257616195</v>
      </c>
      <c r="Z19" s="116">
        <v>17</v>
      </c>
      <c r="AA19" s="116" t="s">
        <v>313</v>
      </c>
      <c r="AB19" s="116">
        <v>4368337.813849374</v>
      </c>
      <c r="AD19" s="116">
        <v>17</v>
      </c>
      <c r="AE19" s="116" t="s">
        <v>313</v>
      </c>
      <c r="AF19" s="116">
        <v>4367721.977383081</v>
      </c>
    </row>
    <row r="20" spans="1:32" ht="12.75">
      <c r="A20" s="114">
        <v>19</v>
      </c>
      <c r="B20" s="115">
        <v>4488812.55</v>
      </c>
      <c r="C20" s="116">
        <v>0</v>
      </c>
      <c r="D20" s="116">
        <v>0</v>
      </c>
      <c r="E20" s="116">
        <v>0</v>
      </c>
      <c r="F20" s="116">
        <v>0</v>
      </c>
      <c r="G20" s="117">
        <v>4488812.55</v>
      </c>
      <c r="H20" s="116">
        <v>783062.8</v>
      </c>
      <c r="I20" s="116">
        <v>929105.97</v>
      </c>
      <c r="J20" s="116">
        <v>0</v>
      </c>
      <c r="K20" s="116">
        <v>0</v>
      </c>
      <c r="L20" s="116">
        <v>0</v>
      </c>
      <c r="M20" s="118">
        <v>929105.97</v>
      </c>
      <c r="N20" s="117">
        <v>5078417.47</v>
      </c>
      <c r="O20" s="119">
        <v>0</v>
      </c>
      <c r="P20" s="119">
        <v>11279398.79</v>
      </c>
      <c r="Q20" s="128">
        <v>862.64296</v>
      </c>
      <c r="S20" s="160">
        <f t="shared" si="2"/>
        <v>761754.5530213852</v>
      </c>
      <c r="T20" s="128">
        <f t="shared" si="1"/>
        <v>789899.1783061718</v>
      </c>
      <c r="Z20" s="116">
        <v>18</v>
      </c>
      <c r="AA20" s="116" t="s">
        <v>314</v>
      </c>
      <c r="AB20" s="116">
        <v>3701336.2757483763</v>
      </c>
      <c r="AD20" s="116">
        <v>18</v>
      </c>
      <c r="AE20" s="116" t="s">
        <v>314</v>
      </c>
      <c r="AF20" s="116">
        <v>3301508.257616195</v>
      </c>
    </row>
    <row r="21" spans="1:32" ht="12.75">
      <c r="A21" s="114">
        <v>20</v>
      </c>
      <c r="B21" s="115">
        <v>12680221.110000001</v>
      </c>
      <c r="C21" s="116">
        <v>0</v>
      </c>
      <c r="D21" s="116">
        <v>0</v>
      </c>
      <c r="E21" s="116">
        <v>0</v>
      </c>
      <c r="F21" s="116">
        <v>0</v>
      </c>
      <c r="G21" s="117">
        <v>12680221.110000001</v>
      </c>
      <c r="H21" s="116">
        <v>1843827.74</v>
      </c>
      <c r="I21" s="116">
        <v>1898125.68</v>
      </c>
      <c r="J21" s="116">
        <v>93758.25</v>
      </c>
      <c r="K21" s="116">
        <v>92948.16</v>
      </c>
      <c r="L21" s="116">
        <v>42086.8</v>
      </c>
      <c r="M21" s="118">
        <v>1856848.97</v>
      </c>
      <c r="N21" s="117">
        <v>3800251.82</v>
      </c>
      <c r="O21" s="119">
        <v>0</v>
      </c>
      <c r="P21" s="119">
        <v>20181149.64</v>
      </c>
      <c r="Q21" s="128">
        <v>2101.0054999999998</v>
      </c>
      <c r="S21" s="160">
        <f t="shared" si="2"/>
        <v>1780909.0284642964</v>
      </c>
      <c r="T21" s="128">
        <f t="shared" si="1"/>
        <v>1735225.286183995</v>
      </c>
      <c r="Z21" s="116">
        <v>19</v>
      </c>
      <c r="AA21" s="116" t="s">
        <v>315</v>
      </c>
      <c r="AB21" s="116">
        <v>761754.5530213852</v>
      </c>
      <c r="AD21" s="116">
        <v>19</v>
      </c>
      <c r="AE21" s="116" t="s">
        <v>315</v>
      </c>
      <c r="AF21" s="116">
        <v>789899.1783061718</v>
      </c>
    </row>
    <row r="22" spans="1:32" ht="12.75">
      <c r="A22" s="114">
        <v>21</v>
      </c>
      <c r="B22" s="115">
        <v>236140803.57999998</v>
      </c>
      <c r="C22" s="116">
        <v>0</v>
      </c>
      <c r="D22" s="116">
        <v>0</v>
      </c>
      <c r="E22" s="116">
        <v>9552441.44</v>
      </c>
      <c r="F22" s="116">
        <v>0</v>
      </c>
      <c r="G22" s="117">
        <v>226588362.14</v>
      </c>
      <c r="H22" s="116">
        <v>49906166.61</v>
      </c>
      <c r="I22" s="116">
        <v>22883303.870000005</v>
      </c>
      <c r="J22" s="116">
        <v>511342.21</v>
      </c>
      <c r="K22" s="116">
        <v>570274.91</v>
      </c>
      <c r="L22" s="116">
        <v>70206</v>
      </c>
      <c r="M22" s="118">
        <v>22754165.170000006</v>
      </c>
      <c r="N22" s="117">
        <v>244208168.43</v>
      </c>
      <c r="O22" s="119">
        <v>19967</v>
      </c>
      <c r="P22" s="119">
        <v>543456862.35</v>
      </c>
      <c r="Q22" s="128">
        <v>58162.87004</v>
      </c>
      <c r="S22" s="160">
        <f t="shared" si="2"/>
        <v>48203171.5588694</v>
      </c>
      <c r="T22" s="128">
        <f t="shared" si="1"/>
        <v>48719209.30075661</v>
      </c>
      <c r="Z22" s="116">
        <v>20</v>
      </c>
      <c r="AA22" s="116" t="s">
        <v>316</v>
      </c>
      <c r="AB22" s="116">
        <v>1780909.0284642964</v>
      </c>
      <c r="AD22" s="116">
        <v>20</v>
      </c>
      <c r="AE22" s="116" t="s">
        <v>316</v>
      </c>
      <c r="AF22" s="116">
        <v>1735225.286183995</v>
      </c>
    </row>
    <row r="23" spans="1:32" ht="12.75">
      <c r="A23" s="114">
        <v>22</v>
      </c>
      <c r="B23" s="115">
        <v>6592610.41</v>
      </c>
      <c r="C23" s="116">
        <v>0</v>
      </c>
      <c r="D23" s="116">
        <v>0</v>
      </c>
      <c r="E23" s="116">
        <v>225452.99</v>
      </c>
      <c r="F23" s="116">
        <v>0</v>
      </c>
      <c r="G23" s="117">
        <v>6367157.42</v>
      </c>
      <c r="H23" s="116">
        <v>1994797.2</v>
      </c>
      <c r="I23" s="116">
        <v>846479.18</v>
      </c>
      <c r="J23" s="116">
        <v>0</v>
      </c>
      <c r="K23" s="116">
        <v>0</v>
      </c>
      <c r="L23" s="116">
        <v>0</v>
      </c>
      <c r="M23" s="118">
        <v>846479.18</v>
      </c>
      <c r="N23" s="117">
        <v>10924523.86</v>
      </c>
      <c r="O23" s="119">
        <v>9727</v>
      </c>
      <c r="P23" s="119">
        <v>20132957.66</v>
      </c>
      <c r="Q23" s="128">
        <v>2149.6940600000003</v>
      </c>
      <c r="S23" s="160">
        <f t="shared" si="2"/>
        <v>1921919.4207473933</v>
      </c>
      <c r="T23" s="128">
        <f t="shared" si="1"/>
        <v>1869628.283253201</v>
      </c>
      <c r="Z23" s="116">
        <v>21</v>
      </c>
      <c r="AA23" s="116" t="s">
        <v>317</v>
      </c>
      <c r="AB23" s="116">
        <v>48203171.5588694</v>
      </c>
      <c r="AD23" s="116">
        <v>21</v>
      </c>
      <c r="AE23" s="116" t="s">
        <v>317</v>
      </c>
      <c r="AF23" s="116">
        <v>48719209.30075661</v>
      </c>
    </row>
    <row r="24" spans="1:32" ht="12.75">
      <c r="A24" s="114">
        <v>23</v>
      </c>
      <c r="B24" s="115">
        <v>3902716.9</v>
      </c>
      <c r="C24" s="116">
        <v>0</v>
      </c>
      <c r="D24" s="116">
        <v>0</v>
      </c>
      <c r="E24" s="116">
        <v>232175</v>
      </c>
      <c r="F24" s="116">
        <v>0</v>
      </c>
      <c r="G24" s="117">
        <v>3670541.9</v>
      </c>
      <c r="H24" s="116">
        <v>735368.21</v>
      </c>
      <c r="I24" s="116">
        <v>516520.41</v>
      </c>
      <c r="J24" s="116">
        <v>0</v>
      </c>
      <c r="K24" s="116">
        <v>0</v>
      </c>
      <c r="L24" s="116">
        <v>0</v>
      </c>
      <c r="M24" s="118">
        <v>516520.41</v>
      </c>
      <c r="N24" s="117">
        <v>1828011.44</v>
      </c>
      <c r="O24" s="119">
        <v>53435.88</v>
      </c>
      <c r="P24" s="119">
        <v>6750441.96</v>
      </c>
      <c r="Q24" s="128">
        <v>730.354</v>
      </c>
      <c r="S24" s="160">
        <f t="shared" si="2"/>
        <v>710274.5685370801</v>
      </c>
      <c r="T24" s="128">
        <f t="shared" si="1"/>
        <v>692288.0631162456</v>
      </c>
      <c r="Z24" s="116">
        <v>22</v>
      </c>
      <c r="AA24" s="116" t="s">
        <v>318</v>
      </c>
      <c r="AB24" s="116">
        <v>1921919.4207473933</v>
      </c>
      <c r="AD24" s="116">
        <v>22</v>
      </c>
      <c r="AE24" s="116" t="s">
        <v>318</v>
      </c>
      <c r="AF24" s="116">
        <v>1869628.283253201</v>
      </c>
    </row>
    <row r="25" spans="1:32" ht="12.75">
      <c r="A25" s="114">
        <v>24</v>
      </c>
      <c r="B25" s="115">
        <v>29508883.46</v>
      </c>
      <c r="C25" s="116">
        <v>0</v>
      </c>
      <c r="D25" s="116">
        <v>0</v>
      </c>
      <c r="E25" s="116">
        <v>364253</v>
      </c>
      <c r="F25" s="116">
        <v>0</v>
      </c>
      <c r="G25" s="117">
        <v>29144630.46</v>
      </c>
      <c r="H25" s="116">
        <v>6070650.15</v>
      </c>
      <c r="I25" s="116">
        <v>3935764.36</v>
      </c>
      <c r="J25" s="116">
        <v>0</v>
      </c>
      <c r="K25" s="116">
        <v>0</v>
      </c>
      <c r="L25" s="116">
        <v>96324.47</v>
      </c>
      <c r="M25" s="118">
        <v>3839439.89</v>
      </c>
      <c r="N25" s="117">
        <v>29560688.61</v>
      </c>
      <c r="O25" s="119">
        <v>188411.18</v>
      </c>
      <c r="P25" s="119">
        <v>68615409.11</v>
      </c>
      <c r="Q25" s="128">
        <v>7263.15604</v>
      </c>
      <c r="S25" s="160">
        <f t="shared" si="2"/>
        <v>5863495.6240891935</v>
      </c>
      <c r="T25" s="128">
        <f t="shared" si="1"/>
        <v>6758443.444804042</v>
      </c>
      <c r="Z25" s="116">
        <v>23</v>
      </c>
      <c r="AA25" s="116" t="s">
        <v>319</v>
      </c>
      <c r="AB25" s="116">
        <v>710274.5685370801</v>
      </c>
      <c r="AD25" s="116">
        <v>23</v>
      </c>
      <c r="AE25" s="116" t="s">
        <v>319</v>
      </c>
      <c r="AF25" s="116">
        <v>692288.0631162456</v>
      </c>
    </row>
    <row r="26" spans="1:32" ht="12.75">
      <c r="A26" s="114">
        <v>25</v>
      </c>
      <c r="B26" s="115">
        <v>7914348.090000001</v>
      </c>
      <c r="C26" s="116">
        <v>0</v>
      </c>
      <c r="D26" s="116">
        <v>0</v>
      </c>
      <c r="E26" s="116">
        <v>237184.03</v>
      </c>
      <c r="F26" s="116">
        <v>102503.69</v>
      </c>
      <c r="G26" s="117">
        <v>7574660.37</v>
      </c>
      <c r="H26" s="116">
        <v>1407395.92</v>
      </c>
      <c r="I26" s="116">
        <v>2105310.8</v>
      </c>
      <c r="J26" s="116">
        <v>0</v>
      </c>
      <c r="K26" s="116">
        <v>0</v>
      </c>
      <c r="L26" s="116">
        <v>0</v>
      </c>
      <c r="M26" s="118">
        <v>2105310.8</v>
      </c>
      <c r="N26" s="117">
        <v>5006089.37</v>
      </c>
      <c r="O26" s="119">
        <v>0</v>
      </c>
      <c r="P26" s="119">
        <v>16093456.46</v>
      </c>
      <c r="Q26" s="128">
        <v>1446.0775899999999</v>
      </c>
      <c r="S26" s="160">
        <f t="shared" si="2"/>
        <v>1359370.0250783192</v>
      </c>
      <c r="T26" s="128">
        <f t="shared" si="1"/>
        <v>1414610.3155216991</v>
      </c>
      <c r="Z26" s="116">
        <v>24</v>
      </c>
      <c r="AA26" s="116" t="s">
        <v>320</v>
      </c>
      <c r="AB26" s="116">
        <v>5863495.6240891935</v>
      </c>
      <c r="AD26" s="116">
        <v>24</v>
      </c>
      <c r="AE26" s="116" t="s">
        <v>320</v>
      </c>
      <c r="AF26" s="116">
        <v>6758443.444804042</v>
      </c>
    </row>
    <row r="27" spans="1:32" ht="12.75">
      <c r="A27" s="114">
        <v>26</v>
      </c>
      <c r="B27" s="115">
        <v>14172699.549999999</v>
      </c>
      <c r="C27" s="116">
        <v>0</v>
      </c>
      <c r="D27" s="116">
        <v>0</v>
      </c>
      <c r="E27" s="116">
        <v>567333.86</v>
      </c>
      <c r="F27" s="116">
        <v>0</v>
      </c>
      <c r="G27" s="117">
        <v>13605365.69</v>
      </c>
      <c r="H27" s="116">
        <v>1990592.36</v>
      </c>
      <c r="I27" s="116">
        <v>2625687.02</v>
      </c>
      <c r="J27" s="116">
        <v>0</v>
      </c>
      <c r="K27" s="116">
        <v>0</v>
      </c>
      <c r="L27" s="116">
        <v>57860.34</v>
      </c>
      <c r="M27" s="118">
        <v>2567826.68</v>
      </c>
      <c r="N27" s="117">
        <v>6730953.300000001</v>
      </c>
      <c r="O27" s="119">
        <v>0</v>
      </c>
      <c r="P27" s="119">
        <v>24894738.03</v>
      </c>
      <c r="Q27" s="128">
        <v>2462.39439</v>
      </c>
      <c r="S27" s="160">
        <f t="shared" si="2"/>
        <v>1922665.5074790497</v>
      </c>
      <c r="T27" s="128">
        <f t="shared" si="1"/>
        <v>2032563.7601471548</v>
      </c>
      <c r="Z27" s="116">
        <v>25</v>
      </c>
      <c r="AA27" s="116" t="s">
        <v>321</v>
      </c>
      <c r="AB27" s="116">
        <v>1359370.0250783192</v>
      </c>
      <c r="AD27" s="116">
        <v>25</v>
      </c>
      <c r="AE27" s="116" t="s">
        <v>321</v>
      </c>
      <c r="AF27" s="116">
        <v>1414610.3155216991</v>
      </c>
    </row>
    <row r="28" spans="1:32" ht="12.75">
      <c r="A28" s="114">
        <v>27</v>
      </c>
      <c r="B28" s="115">
        <v>24262425.700000003</v>
      </c>
      <c r="C28" s="116">
        <v>0</v>
      </c>
      <c r="D28" s="116">
        <v>0</v>
      </c>
      <c r="E28" s="116">
        <v>830214</v>
      </c>
      <c r="F28" s="116">
        <v>0</v>
      </c>
      <c r="G28" s="117">
        <v>23432211.700000003</v>
      </c>
      <c r="H28" s="116">
        <v>3813810.64</v>
      </c>
      <c r="I28" s="116">
        <v>2523231.14</v>
      </c>
      <c r="J28" s="116">
        <v>0</v>
      </c>
      <c r="K28" s="116">
        <v>0</v>
      </c>
      <c r="L28" s="116">
        <v>0</v>
      </c>
      <c r="M28" s="118">
        <v>2523231.14</v>
      </c>
      <c r="N28" s="117">
        <v>12545528.079999998</v>
      </c>
      <c r="O28" s="119">
        <v>0</v>
      </c>
      <c r="P28" s="119">
        <v>42314781.56</v>
      </c>
      <c r="Q28" s="128">
        <v>4662.784</v>
      </c>
      <c r="S28" s="160">
        <f t="shared" si="2"/>
        <v>3674477.153408739</v>
      </c>
      <c r="T28" s="128">
        <f t="shared" si="1"/>
        <v>5368611.33544594</v>
      </c>
      <c r="Z28" s="116">
        <v>26</v>
      </c>
      <c r="AA28" s="116" t="s">
        <v>322</v>
      </c>
      <c r="AB28" s="116">
        <v>1922665.5074790497</v>
      </c>
      <c r="AD28" s="116">
        <v>26</v>
      </c>
      <c r="AE28" s="116" t="s">
        <v>322</v>
      </c>
      <c r="AF28" s="116">
        <v>2032563.7601471548</v>
      </c>
    </row>
    <row r="29" spans="1:32" ht="12.75">
      <c r="A29" s="114">
        <v>28</v>
      </c>
      <c r="B29" s="115">
        <v>7628770.46</v>
      </c>
      <c r="C29" s="116">
        <v>0</v>
      </c>
      <c r="D29" s="116">
        <v>0</v>
      </c>
      <c r="E29" s="116">
        <v>309994.4</v>
      </c>
      <c r="F29" s="116">
        <v>398257.94</v>
      </c>
      <c r="G29" s="117">
        <v>6920518.119999999</v>
      </c>
      <c r="H29" s="116">
        <v>1521652.36</v>
      </c>
      <c r="I29" s="116">
        <v>1663421.88</v>
      </c>
      <c r="J29" s="116">
        <v>0</v>
      </c>
      <c r="K29" s="116">
        <v>0</v>
      </c>
      <c r="L29" s="116">
        <v>0</v>
      </c>
      <c r="M29" s="118">
        <v>1663421.88</v>
      </c>
      <c r="N29" s="117">
        <v>6121536.93</v>
      </c>
      <c r="O29" s="119">
        <v>0</v>
      </c>
      <c r="P29" s="119">
        <v>16227129.29</v>
      </c>
      <c r="Q29" s="128">
        <v>1616.4555</v>
      </c>
      <c r="S29" s="160">
        <f t="shared" si="2"/>
        <v>1466060.4277052125</v>
      </c>
      <c r="T29" s="128">
        <f t="shared" si="1"/>
        <v>1349285.9538176719</v>
      </c>
      <c r="Z29" s="116">
        <v>27</v>
      </c>
      <c r="AA29" s="116" t="s">
        <v>323</v>
      </c>
      <c r="AB29" s="116">
        <v>3674477.153408739</v>
      </c>
      <c r="AD29" s="116">
        <v>27</v>
      </c>
      <c r="AE29" s="116" t="s">
        <v>323</v>
      </c>
      <c r="AF29" s="116">
        <v>5368611.33544594</v>
      </c>
    </row>
    <row r="30" spans="1:32" ht="12.75">
      <c r="A30" s="114">
        <v>29</v>
      </c>
      <c r="B30" s="115">
        <v>303760110.14000005</v>
      </c>
      <c r="C30" s="116">
        <v>0</v>
      </c>
      <c r="D30" s="116">
        <v>0</v>
      </c>
      <c r="E30" s="116">
        <v>0</v>
      </c>
      <c r="F30" s="116">
        <v>1962258</v>
      </c>
      <c r="G30" s="117">
        <v>301797852.14000005</v>
      </c>
      <c r="H30" s="116">
        <v>157877070.38</v>
      </c>
      <c r="I30" s="116">
        <v>86480755.45999996</v>
      </c>
      <c r="J30" s="116">
        <v>0</v>
      </c>
      <c r="K30" s="116">
        <v>0</v>
      </c>
      <c r="L30" s="116">
        <v>0</v>
      </c>
      <c r="M30" s="118">
        <v>86480755.45999996</v>
      </c>
      <c r="N30" s="117">
        <v>1675671675.1099997</v>
      </c>
      <c r="O30" s="119">
        <v>37993119.57</v>
      </c>
      <c r="P30" s="119">
        <v>2221827353.0899997</v>
      </c>
      <c r="Q30" s="128">
        <f>160349.22498+R126</f>
        <v>163134.27517</v>
      </c>
      <c r="S30" s="160">
        <f>VLOOKUP(A30,$Z$3:$AB$138,3,FALSE)+VLOOKUP(134,$Z$2:$AB$147,3,FALSE)</f>
        <v>152489682.7363652</v>
      </c>
      <c r="T30" s="128">
        <f>VLOOKUP($A30,$AD$3:$AF$138,3,FALSE)+VLOOKUP(134,$AD$3:$AF$138,3,FALSE)</f>
        <v>155711503.5151669</v>
      </c>
      <c r="Z30" s="116">
        <v>28</v>
      </c>
      <c r="AA30" s="116" t="s">
        <v>324</v>
      </c>
      <c r="AB30" s="116">
        <v>1466060.4277052125</v>
      </c>
      <c r="AD30" s="116">
        <v>28</v>
      </c>
      <c r="AE30" s="116" t="s">
        <v>324</v>
      </c>
      <c r="AF30" s="116">
        <v>1349285.9538176719</v>
      </c>
    </row>
    <row r="31" spans="1:32" ht="12.75">
      <c r="A31" s="114">
        <v>30</v>
      </c>
      <c r="B31" s="115">
        <v>27364033.01</v>
      </c>
      <c r="C31" s="116">
        <v>0</v>
      </c>
      <c r="D31" s="116">
        <v>0</v>
      </c>
      <c r="E31" s="116">
        <v>0</v>
      </c>
      <c r="F31" s="116">
        <v>0</v>
      </c>
      <c r="G31" s="117">
        <v>27364033.01</v>
      </c>
      <c r="H31" s="116">
        <v>11255581.38</v>
      </c>
      <c r="I31" s="116">
        <v>4094807.25</v>
      </c>
      <c r="J31" s="116">
        <v>0</v>
      </c>
      <c r="K31" s="116">
        <v>0</v>
      </c>
      <c r="L31" s="116">
        <v>0</v>
      </c>
      <c r="M31" s="118">
        <v>4094807.25</v>
      </c>
      <c r="N31" s="117">
        <v>78949144.28</v>
      </c>
      <c r="O31" s="119">
        <v>0</v>
      </c>
      <c r="P31" s="119">
        <v>121663565.92</v>
      </c>
      <c r="Q31" s="128">
        <v>11135.82563</v>
      </c>
      <c r="S31" s="160">
        <f>VLOOKUP(A31,$Z$3:$AB$138,3,FALSE)</f>
        <v>10844370.644628633</v>
      </c>
      <c r="T31" s="128">
        <f t="shared" si="1"/>
        <v>11587941.082508696</v>
      </c>
      <c r="Z31" s="116">
        <v>29</v>
      </c>
      <c r="AA31" s="116" t="s">
        <v>325</v>
      </c>
      <c r="AB31" s="116">
        <v>149890334.89217454</v>
      </c>
      <c r="AD31" s="116">
        <v>29</v>
      </c>
      <c r="AE31" s="116" t="s">
        <v>325</v>
      </c>
      <c r="AF31" s="116">
        <v>153051225.1988753</v>
      </c>
    </row>
    <row r="32" spans="1:32" ht="12.75">
      <c r="A32" s="114">
        <v>31</v>
      </c>
      <c r="B32" s="115">
        <v>10165552.129999999</v>
      </c>
      <c r="C32" s="116">
        <v>91980.14</v>
      </c>
      <c r="D32" s="116">
        <v>0</v>
      </c>
      <c r="E32" s="116">
        <v>526005.5</v>
      </c>
      <c r="F32" s="116">
        <v>61288.52</v>
      </c>
      <c r="G32" s="117">
        <v>9670238.25</v>
      </c>
      <c r="H32" s="116">
        <v>1971281.22</v>
      </c>
      <c r="I32" s="116">
        <v>1324553.86</v>
      </c>
      <c r="J32" s="116">
        <v>0</v>
      </c>
      <c r="K32" s="116">
        <v>0</v>
      </c>
      <c r="L32" s="116">
        <v>0</v>
      </c>
      <c r="M32" s="118">
        <v>1324553.86</v>
      </c>
      <c r="N32" s="117">
        <v>5637023.589999998</v>
      </c>
      <c r="O32" s="119">
        <v>31145.44</v>
      </c>
      <c r="P32" s="119">
        <v>18603096.919999998</v>
      </c>
      <c r="Q32" s="128">
        <v>2039.87709</v>
      </c>
      <c r="S32" s="160">
        <f aca="true" t="shared" si="3" ref="S32:S40">VLOOKUP(A32,$Z$3:$AB$138,3,FALSE)</f>
        <v>1904013.3391876346</v>
      </c>
      <c r="T32" s="128">
        <f t="shared" si="1"/>
        <v>1852358.6244119066</v>
      </c>
      <c r="Z32" s="116">
        <v>30</v>
      </c>
      <c r="AA32" s="116" t="s">
        <v>326</v>
      </c>
      <c r="AB32" s="116">
        <v>10844370.644628633</v>
      </c>
      <c r="AD32" s="116">
        <v>30</v>
      </c>
      <c r="AE32" s="116" t="s">
        <v>326</v>
      </c>
      <c r="AF32" s="116">
        <v>11587941.082508696</v>
      </c>
    </row>
    <row r="33" spans="1:32" ht="12.75">
      <c r="A33" s="114">
        <v>32</v>
      </c>
      <c r="B33" s="115">
        <v>15851997.37</v>
      </c>
      <c r="C33" s="116">
        <v>0</v>
      </c>
      <c r="D33" s="116">
        <v>0</v>
      </c>
      <c r="E33" s="116">
        <v>145997</v>
      </c>
      <c r="F33" s="116">
        <v>579452</v>
      </c>
      <c r="G33" s="117">
        <v>15126548.37</v>
      </c>
      <c r="H33" s="116">
        <v>3031849.08</v>
      </c>
      <c r="I33" s="116">
        <v>1699271.87</v>
      </c>
      <c r="J33" s="116">
        <v>0</v>
      </c>
      <c r="K33" s="116">
        <v>0</v>
      </c>
      <c r="L33" s="116">
        <v>0</v>
      </c>
      <c r="M33" s="118">
        <v>1699271.87</v>
      </c>
      <c r="N33" s="117">
        <v>14024239.030000001</v>
      </c>
      <c r="O33" s="119">
        <v>406548.97</v>
      </c>
      <c r="P33" s="119">
        <v>33881908.35</v>
      </c>
      <c r="Q33" s="128">
        <v>3662.6496100000004</v>
      </c>
      <c r="S33" s="160">
        <f t="shared" si="3"/>
        <v>2928390.4217521423</v>
      </c>
      <c r="T33" s="128">
        <f t="shared" si="1"/>
        <v>3094272.3515206594</v>
      </c>
      <c r="Z33" s="116">
        <v>31</v>
      </c>
      <c r="AA33" s="116" t="s">
        <v>327</v>
      </c>
      <c r="AB33" s="116">
        <v>1904013.3391876346</v>
      </c>
      <c r="AD33" s="116">
        <v>31</v>
      </c>
      <c r="AE33" s="116" t="s">
        <v>327</v>
      </c>
      <c r="AF33" s="116">
        <v>1852358.6244119066</v>
      </c>
    </row>
    <row r="34" spans="1:32" ht="12.75">
      <c r="A34" s="114">
        <v>33</v>
      </c>
      <c r="B34" s="115">
        <v>31846862.41</v>
      </c>
      <c r="C34" s="116">
        <v>39966.27</v>
      </c>
      <c r="D34" s="116">
        <v>0</v>
      </c>
      <c r="E34" s="116">
        <v>980830.62</v>
      </c>
      <c r="F34" s="116">
        <v>0</v>
      </c>
      <c r="G34" s="117">
        <v>30905998.06</v>
      </c>
      <c r="H34" s="116">
        <v>7212324.76</v>
      </c>
      <c r="I34" s="116">
        <v>6097150.509999998</v>
      </c>
      <c r="J34" s="116">
        <v>0</v>
      </c>
      <c r="K34" s="116">
        <v>0</v>
      </c>
      <c r="L34" s="116">
        <v>217736.93</v>
      </c>
      <c r="M34" s="118">
        <v>5879413.579999998</v>
      </c>
      <c r="N34" s="117">
        <v>26075961.17000001</v>
      </c>
      <c r="O34" s="119">
        <v>459874.1</v>
      </c>
      <c r="P34" s="119">
        <v>70073697.57000001</v>
      </c>
      <c r="Q34" s="128">
        <v>7269.17206</v>
      </c>
      <c r="S34" s="160">
        <f t="shared" si="3"/>
        <v>6966211.813477644</v>
      </c>
      <c r="T34" s="128">
        <f t="shared" si="1"/>
        <v>7117352.006810078</v>
      </c>
      <c r="Z34" s="116">
        <v>32</v>
      </c>
      <c r="AA34" s="116" t="s">
        <v>328</v>
      </c>
      <c r="AB34" s="116">
        <v>2928390.4217521423</v>
      </c>
      <c r="AD34" s="116">
        <v>32</v>
      </c>
      <c r="AE34" s="116" t="s">
        <v>328</v>
      </c>
      <c r="AF34" s="116">
        <v>3094272.3515206594</v>
      </c>
    </row>
    <row r="35" spans="1:32" ht="12.75">
      <c r="A35" s="114">
        <v>34</v>
      </c>
      <c r="B35" s="115">
        <v>53989611.78</v>
      </c>
      <c r="C35" s="116">
        <v>451588</v>
      </c>
      <c r="D35" s="116">
        <v>927949.22</v>
      </c>
      <c r="E35" s="116">
        <v>5170.99</v>
      </c>
      <c r="F35" s="116">
        <v>0</v>
      </c>
      <c r="G35" s="117">
        <v>53508079.57</v>
      </c>
      <c r="H35" s="116">
        <v>10783210.87</v>
      </c>
      <c r="I35" s="116">
        <v>5309979.76</v>
      </c>
      <c r="J35" s="116">
        <v>0</v>
      </c>
      <c r="K35" s="116">
        <v>0</v>
      </c>
      <c r="L35" s="116">
        <v>122685.13</v>
      </c>
      <c r="M35" s="118">
        <v>5187294.63</v>
      </c>
      <c r="N35" s="117">
        <v>62053714.97000001</v>
      </c>
      <c r="O35" s="119">
        <v>124873.33</v>
      </c>
      <c r="P35" s="119">
        <v>131532300.04</v>
      </c>
      <c r="Q35" s="128">
        <v>12789.46867</v>
      </c>
      <c r="S35" s="160">
        <f t="shared" si="3"/>
        <v>10389257.73831811</v>
      </c>
      <c r="T35" s="128">
        <f t="shared" si="1"/>
        <v>12187123.158828396</v>
      </c>
      <c r="Z35" s="116">
        <v>33</v>
      </c>
      <c r="AA35" s="116" t="s">
        <v>329</v>
      </c>
      <c r="AB35" s="116">
        <v>6966211.813477644</v>
      </c>
      <c r="AD35" s="116">
        <v>33</v>
      </c>
      <c r="AE35" s="116" t="s">
        <v>329</v>
      </c>
      <c r="AF35" s="116">
        <v>7117352.006810078</v>
      </c>
    </row>
    <row r="36" spans="1:32" ht="12.75">
      <c r="A36" s="114">
        <v>35</v>
      </c>
      <c r="B36" s="115">
        <v>13287392.759999998</v>
      </c>
      <c r="C36" s="116">
        <v>133264.96</v>
      </c>
      <c r="D36" s="116">
        <v>0.33</v>
      </c>
      <c r="E36" s="116">
        <v>553838.96</v>
      </c>
      <c r="F36" s="116">
        <v>0</v>
      </c>
      <c r="G36" s="117">
        <v>12866818.43</v>
      </c>
      <c r="H36" s="116">
        <v>2395924.96</v>
      </c>
      <c r="I36" s="116">
        <v>1498390.56</v>
      </c>
      <c r="J36" s="116">
        <v>0</v>
      </c>
      <c r="K36" s="116">
        <v>0</v>
      </c>
      <c r="L36" s="116">
        <v>11076.3</v>
      </c>
      <c r="M36" s="118">
        <v>1487314.26</v>
      </c>
      <c r="N36" s="117">
        <v>6492395.0600000005</v>
      </c>
      <c r="O36" s="119">
        <v>41742.25</v>
      </c>
      <c r="P36" s="119">
        <v>23242452.71</v>
      </c>
      <c r="Q36" s="128">
        <v>2529.52742</v>
      </c>
      <c r="S36" s="160">
        <f t="shared" si="3"/>
        <v>2308392.3477455103</v>
      </c>
      <c r="T36" s="128">
        <f t="shared" si="1"/>
        <v>2341915.909825998</v>
      </c>
      <c r="Z36" s="116">
        <v>34</v>
      </c>
      <c r="AA36" s="116" t="s">
        <v>330</v>
      </c>
      <c r="AB36" s="116">
        <v>10389257.73831811</v>
      </c>
      <c r="AD36" s="116">
        <v>34</v>
      </c>
      <c r="AE36" s="116" t="s">
        <v>330</v>
      </c>
      <c r="AF36" s="116">
        <v>12187123.158828396</v>
      </c>
    </row>
    <row r="37" spans="1:32" ht="12.75">
      <c r="A37" s="114">
        <v>36</v>
      </c>
      <c r="B37" s="115">
        <v>26252210.32</v>
      </c>
      <c r="C37" s="116">
        <v>0</v>
      </c>
      <c r="D37" s="116">
        <v>3798.36</v>
      </c>
      <c r="E37" s="116">
        <v>621359</v>
      </c>
      <c r="F37" s="116">
        <v>11498</v>
      </c>
      <c r="G37" s="117">
        <v>25615554.96</v>
      </c>
      <c r="H37" s="116">
        <v>6003751.12</v>
      </c>
      <c r="I37" s="116">
        <v>3392789.14</v>
      </c>
      <c r="J37" s="116">
        <v>0</v>
      </c>
      <c r="K37" s="116">
        <v>0</v>
      </c>
      <c r="L37" s="116">
        <v>26420.07</v>
      </c>
      <c r="M37" s="118">
        <v>3366369.07</v>
      </c>
      <c r="N37" s="117">
        <v>23298053.550000004</v>
      </c>
      <c r="O37" s="119">
        <v>31170</v>
      </c>
      <c r="P37" s="119">
        <v>58283728.7</v>
      </c>
      <c r="Q37" s="128">
        <v>5927.26648</v>
      </c>
      <c r="S37" s="160">
        <f t="shared" si="3"/>
        <v>5784410.430533594</v>
      </c>
      <c r="T37" s="128">
        <f t="shared" si="1"/>
        <v>5689226.306108234</v>
      </c>
      <c r="Z37" s="116">
        <v>35</v>
      </c>
      <c r="AA37" s="116" t="s">
        <v>331</v>
      </c>
      <c r="AB37" s="116">
        <v>2308392.3477455103</v>
      </c>
      <c r="AD37" s="116">
        <v>35</v>
      </c>
      <c r="AE37" s="116" t="s">
        <v>331</v>
      </c>
      <c r="AF37" s="116">
        <v>2341915.909825998</v>
      </c>
    </row>
    <row r="38" spans="1:32" ht="12.75">
      <c r="A38" s="114">
        <v>37</v>
      </c>
      <c r="B38" s="115">
        <v>3452388.92</v>
      </c>
      <c r="C38" s="116">
        <v>0</v>
      </c>
      <c r="D38" s="116">
        <v>0</v>
      </c>
      <c r="E38" s="116">
        <v>116372</v>
      </c>
      <c r="F38" s="116">
        <v>0</v>
      </c>
      <c r="G38" s="117">
        <v>3336016.92</v>
      </c>
      <c r="H38" s="116">
        <v>2093143.23</v>
      </c>
      <c r="I38" s="116">
        <v>1096504.71</v>
      </c>
      <c r="J38" s="116">
        <v>0</v>
      </c>
      <c r="K38" s="116">
        <v>0</v>
      </c>
      <c r="L38" s="116">
        <v>0</v>
      </c>
      <c r="M38" s="118">
        <v>1096504.71</v>
      </c>
      <c r="N38" s="117">
        <v>18548698.43</v>
      </c>
      <c r="O38" s="119">
        <v>0</v>
      </c>
      <c r="P38" s="119">
        <v>25074363.29</v>
      </c>
      <c r="Q38" s="128">
        <v>2366.89596</v>
      </c>
      <c r="S38" s="160">
        <f t="shared" si="3"/>
        <v>2016672.435667781</v>
      </c>
      <c r="T38" s="128">
        <f t="shared" si="1"/>
        <v>2576933.4410140505</v>
      </c>
      <c r="Z38" s="116">
        <v>36</v>
      </c>
      <c r="AA38" s="116" t="s">
        <v>332</v>
      </c>
      <c r="AB38" s="116">
        <v>5784410.430533594</v>
      </c>
      <c r="AD38" s="116">
        <v>36</v>
      </c>
      <c r="AE38" s="116" t="s">
        <v>332</v>
      </c>
      <c r="AF38" s="116">
        <v>5689226.306108234</v>
      </c>
    </row>
    <row r="39" spans="1:32" ht="12.75">
      <c r="A39" s="114">
        <v>38</v>
      </c>
      <c r="B39" s="115">
        <v>11658176.040000001</v>
      </c>
      <c r="C39" s="116">
        <v>0</v>
      </c>
      <c r="D39" s="116">
        <v>0</v>
      </c>
      <c r="E39" s="116">
        <v>273390.84</v>
      </c>
      <c r="F39" s="116">
        <v>0</v>
      </c>
      <c r="G39" s="117">
        <v>11384785.200000001</v>
      </c>
      <c r="H39" s="116">
        <v>2157440.62</v>
      </c>
      <c r="I39" s="116">
        <v>1799999</v>
      </c>
      <c r="J39" s="116">
        <v>0</v>
      </c>
      <c r="K39" s="116">
        <v>0</v>
      </c>
      <c r="L39" s="116">
        <v>0</v>
      </c>
      <c r="M39" s="118">
        <v>1799999</v>
      </c>
      <c r="N39" s="117">
        <v>5070951.27</v>
      </c>
      <c r="O39" s="119">
        <v>22272.58</v>
      </c>
      <c r="P39" s="119">
        <v>20413176.090000004</v>
      </c>
      <c r="Q39" s="128">
        <v>2059.89447</v>
      </c>
      <c r="S39" s="160">
        <f t="shared" si="3"/>
        <v>2083820.2415168746</v>
      </c>
      <c r="T39" s="128">
        <f t="shared" si="1"/>
        <v>1989014.1856778031</v>
      </c>
      <c r="Z39" s="116">
        <v>37</v>
      </c>
      <c r="AA39" s="116" t="s">
        <v>333</v>
      </c>
      <c r="AB39" s="116">
        <v>2016672.435667781</v>
      </c>
      <c r="AD39" s="116">
        <v>37</v>
      </c>
      <c r="AE39" s="116" t="s">
        <v>333</v>
      </c>
      <c r="AF39" s="116">
        <v>2576933.4410140505</v>
      </c>
    </row>
    <row r="40" spans="1:32" ht="12.75">
      <c r="A40" s="114">
        <v>39</v>
      </c>
      <c r="B40" s="115">
        <v>13656098.94</v>
      </c>
      <c r="C40" s="116">
        <v>0</v>
      </c>
      <c r="D40" s="116">
        <v>0</v>
      </c>
      <c r="E40" s="116">
        <v>756065.81</v>
      </c>
      <c r="F40" s="116">
        <v>0</v>
      </c>
      <c r="G40" s="117">
        <v>12900033.129999999</v>
      </c>
      <c r="H40" s="116">
        <v>2496594.04</v>
      </c>
      <c r="I40" s="116">
        <v>1546702.79</v>
      </c>
      <c r="J40" s="116">
        <v>0</v>
      </c>
      <c r="K40" s="116">
        <v>0</v>
      </c>
      <c r="L40" s="116">
        <v>3803.76</v>
      </c>
      <c r="M40" s="118">
        <v>1542899.03</v>
      </c>
      <c r="N40" s="117">
        <v>9906112.93</v>
      </c>
      <c r="O40" s="119">
        <v>492566.64</v>
      </c>
      <c r="P40" s="119">
        <v>26845639.13</v>
      </c>
      <c r="Q40" s="128">
        <v>2744.9941900000003</v>
      </c>
      <c r="S40" s="160">
        <f t="shared" si="3"/>
        <v>2405383.622860868</v>
      </c>
      <c r="T40" s="128">
        <f t="shared" si="1"/>
        <v>4330930.095503801</v>
      </c>
      <c r="Z40" s="116">
        <v>38</v>
      </c>
      <c r="AA40" s="116" t="s">
        <v>334</v>
      </c>
      <c r="AB40" s="116">
        <v>2083820.2415168746</v>
      </c>
      <c r="AD40" s="116">
        <v>38</v>
      </c>
      <c r="AE40" s="116" t="s">
        <v>334</v>
      </c>
      <c r="AF40" s="116">
        <v>1989014.1856778031</v>
      </c>
    </row>
    <row r="41" spans="1:32" ht="12.75">
      <c r="A41" s="114">
        <v>40</v>
      </c>
      <c r="B41" s="115">
        <v>15124255.86</v>
      </c>
      <c r="C41" s="116">
        <v>0</v>
      </c>
      <c r="D41" s="116">
        <v>0</v>
      </c>
      <c r="E41" s="116">
        <v>516132</v>
      </c>
      <c r="F41" s="116">
        <v>0</v>
      </c>
      <c r="G41" s="117">
        <v>14608123.86</v>
      </c>
      <c r="H41" s="116">
        <v>2328923.52</v>
      </c>
      <c r="I41" s="116">
        <v>3418327.24</v>
      </c>
      <c r="J41" s="116">
        <v>0</v>
      </c>
      <c r="K41" s="116">
        <v>0</v>
      </c>
      <c r="L41" s="116">
        <v>0</v>
      </c>
      <c r="M41" s="118">
        <v>3418327.24</v>
      </c>
      <c r="N41" s="117">
        <v>6017905.120000005</v>
      </c>
      <c r="O41" s="119">
        <v>8687618.19</v>
      </c>
      <c r="P41" s="119">
        <v>26373279.740000002</v>
      </c>
      <c r="Q41" s="128">
        <f>1703.82222+R130</f>
        <v>2536.19996</v>
      </c>
      <c r="S41" s="160">
        <f>VLOOKUP(A41,$Z$3:$AB$138,3,FALSE)+VLOOKUP(138,$Z$2:$AB$138,3,FALSE)</f>
        <v>2249451.495944639</v>
      </c>
      <c r="T41" s="128">
        <f>VLOOKUP($A41,$AD$3:$AF$138,3,FALSE)+VLOOKUP(138,$AD$3:$AF$138,3,FALSE)</f>
        <v>2217274.0242757844</v>
      </c>
      <c r="Z41" s="116">
        <v>39</v>
      </c>
      <c r="AA41" s="116" t="s">
        <v>335</v>
      </c>
      <c r="AB41" s="116">
        <v>2405383.622860868</v>
      </c>
      <c r="AD41" s="116">
        <v>39</v>
      </c>
      <c r="AE41" s="116" t="s">
        <v>335</v>
      </c>
      <c r="AF41" s="116">
        <v>4330930.095503801</v>
      </c>
    </row>
    <row r="42" spans="1:32" ht="12.75">
      <c r="A42" s="114">
        <v>41</v>
      </c>
      <c r="B42" s="115">
        <v>33588517.71</v>
      </c>
      <c r="C42" s="116">
        <v>0</v>
      </c>
      <c r="D42" s="116">
        <v>0</v>
      </c>
      <c r="E42" s="116">
        <v>299254.05</v>
      </c>
      <c r="F42" s="116">
        <v>0</v>
      </c>
      <c r="G42" s="117">
        <v>33289263.66</v>
      </c>
      <c r="H42" s="116">
        <v>5668205.94</v>
      </c>
      <c r="I42" s="116">
        <v>5490226.940000001</v>
      </c>
      <c r="J42" s="116">
        <v>0</v>
      </c>
      <c r="K42" s="116">
        <v>0</v>
      </c>
      <c r="L42" s="116">
        <v>58068.83</v>
      </c>
      <c r="M42" s="118">
        <v>5432158.110000001</v>
      </c>
      <c r="N42" s="117">
        <v>15846303.369999997</v>
      </c>
      <c r="O42" s="119">
        <v>0</v>
      </c>
      <c r="P42" s="119">
        <v>60235931.08</v>
      </c>
      <c r="Q42" s="128">
        <v>5762.01082</v>
      </c>
      <c r="S42" s="160">
        <f>VLOOKUP(A42,$Z$3:$AB$138,3,FALSE)</f>
        <v>5474784.436896107</v>
      </c>
      <c r="T42" s="128">
        <f t="shared" si="1"/>
        <v>5443696.808668959</v>
      </c>
      <c r="Z42" s="116">
        <v>40</v>
      </c>
      <c r="AA42" s="116" t="s">
        <v>336</v>
      </c>
      <c r="AB42" s="116">
        <v>1375198.5107587643</v>
      </c>
      <c r="AD42" s="116">
        <v>40</v>
      </c>
      <c r="AE42" s="116" t="s">
        <v>336</v>
      </c>
      <c r="AF42" s="116">
        <v>1289217.5752392556</v>
      </c>
    </row>
    <row r="43" spans="1:32" ht="12.75">
      <c r="A43" s="114">
        <v>42</v>
      </c>
      <c r="B43" s="115">
        <v>67315223.27</v>
      </c>
      <c r="C43" s="116">
        <v>0</v>
      </c>
      <c r="D43" s="116">
        <v>0</v>
      </c>
      <c r="E43" s="116">
        <v>742404.97</v>
      </c>
      <c r="F43" s="116">
        <v>0</v>
      </c>
      <c r="G43" s="117">
        <v>66572818.3</v>
      </c>
      <c r="H43" s="116">
        <v>17131560.14</v>
      </c>
      <c r="I43" s="116">
        <v>6645704.570000001</v>
      </c>
      <c r="J43" s="116">
        <v>0</v>
      </c>
      <c r="K43" s="116">
        <v>0</v>
      </c>
      <c r="L43" s="116">
        <v>35455</v>
      </c>
      <c r="M43" s="118">
        <v>6610249.570000001</v>
      </c>
      <c r="N43" s="117">
        <v>82082425.08999999</v>
      </c>
      <c r="O43" s="119">
        <v>51489.36</v>
      </c>
      <c r="P43" s="119">
        <v>172397053.1</v>
      </c>
      <c r="Q43" s="128">
        <v>18755.95033</v>
      </c>
      <c r="S43" s="160">
        <f aca="true" t="shared" si="4" ref="S43:S106">VLOOKUP(A43,$Z$3:$AB$138,3,FALSE)</f>
        <v>16505676.764438888</v>
      </c>
      <c r="T43" s="128">
        <f t="shared" si="1"/>
        <v>16994095.154566146</v>
      </c>
      <c r="Z43" s="116">
        <v>41</v>
      </c>
      <c r="AA43" s="116" t="s">
        <v>337</v>
      </c>
      <c r="AB43" s="116">
        <v>5474784.436896107</v>
      </c>
      <c r="AD43" s="116">
        <v>41</v>
      </c>
      <c r="AE43" s="116" t="s">
        <v>337</v>
      </c>
      <c r="AF43" s="116">
        <v>5443696.808668959</v>
      </c>
    </row>
    <row r="44" spans="1:32" ht="12.75">
      <c r="A44" s="114">
        <v>43</v>
      </c>
      <c r="B44" s="115">
        <v>174162419.15</v>
      </c>
      <c r="C44" s="116">
        <v>0</v>
      </c>
      <c r="D44" s="116">
        <v>0</v>
      </c>
      <c r="E44" s="116">
        <v>7921299.03</v>
      </c>
      <c r="F44" s="116">
        <v>0</v>
      </c>
      <c r="G44" s="117">
        <v>166241120.12</v>
      </c>
      <c r="H44" s="116">
        <v>45208152.34</v>
      </c>
      <c r="I44" s="116">
        <v>25534035.689999998</v>
      </c>
      <c r="J44" s="116">
        <v>11937.77</v>
      </c>
      <c r="K44" s="116">
        <v>12951.76</v>
      </c>
      <c r="L44" s="116">
        <v>121206.55</v>
      </c>
      <c r="M44" s="118">
        <v>25411815.149999995</v>
      </c>
      <c r="N44" s="117">
        <v>188493931.5</v>
      </c>
      <c r="O44" s="119">
        <v>101011.99</v>
      </c>
      <c r="P44" s="119">
        <v>425355019.11</v>
      </c>
      <c r="Q44" s="128">
        <v>47725.181169999996</v>
      </c>
      <c r="S44" s="160">
        <f t="shared" si="4"/>
        <v>43665472.05693398</v>
      </c>
      <c r="T44" s="128">
        <f t="shared" si="1"/>
        <v>44805003.58164057</v>
      </c>
      <c r="Z44" s="116">
        <v>42</v>
      </c>
      <c r="AA44" s="116" t="s">
        <v>338</v>
      </c>
      <c r="AB44" s="116">
        <v>16505676.764438888</v>
      </c>
      <c r="AD44" s="116">
        <v>42</v>
      </c>
      <c r="AE44" s="116" t="s">
        <v>338</v>
      </c>
      <c r="AF44" s="116">
        <v>16994095.154566146</v>
      </c>
    </row>
    <row r="45" spans="1:32" ht="12.75">
      <c r="A45" s="114">
        <v>44</v>
      </c>
      <c r="B45" s="115">
        <v>39965663.06999999</v>
      </c>
      <c r="C45" s="116">
        <v>0</v>
      </c>
      <c r="D45" s="116">
        <v>0</v>
      </c>
      <c r="E45" s="116">
        <v>510329.1</v>
      </c>
      <c r="F45" s="116">
        <v>515868</v>
      </c>
      <c r="G45" s="117">
        <v>38939465.96999999</v>
      </c>
      <c r="H45" s="116">
        <v>8202984.04</v>
      </c>
      <c r="I45" s="116">
        <v>7700708.88</v>
      </c>
      <c r="J45" s="116">
        <v>0</v>
      </c>
      <c r="K45" s="116">
        <v>0</v>
      </c>
      <c r="L45" s="116">
        <v>231308.02</v>
      </c>
      <c r="M45" s="118">
        <v>7469400.86</v>
      </c>
      <c r="N45" s="117">
        <v>14707571.970000014</v>
      </c>
      <c r="O45" s="119">
        <v>576229.63</v>
      </c>
      <c r="P45" s="119">
        <v>69319422.84</v>
      </c>
      <c r="Q45" s="128">
        <v>7373.82729</v>
      </c>
      <c r="S45" s="160">
        <f t="shared" si="4"/>
        <v>7903296.748438329</v>
      </c>
      <c r="T45" s="128">
        <f t="shared" si="1"/>
        <v>7128614.82779353</v>
      </c>
      <c r="Z45" s="116">
        <v>43</v>
      </c>
      <c r="AA45" s="116" t="s">
        <v>339</v>
      </c>
      <c r="AB45" s="116">
        <v>43665472.05693398</v>
      </c>
      <c r="AD45" s="116">
        <v>43</v>
      </c>
      <c r="AE45" s="116" t="s">
        <v>339</v>
      </c>
      <c r="AF45" s="116">
        <v>44805003.58164057</v>
      </c>
    </row>
    <row r="46" spans="1:32" ht="12.75">
      <c r="A46" s="114">
        <v>45</v>
      </c>
      <c r="B46" s="115">
        <v>1665563.6</v>
      </c>
      <c r="C46" s="116">
        <v>0</v>
      </c>
      <c r="D46" s="116">
        <v>0</v>
      </c>
      <c r="E46" s="116">
        <v>102121</v>
      </c>
      <c r="F46" s="116">
        <v>0</v>
      </c>
      <c r="G46" s="117">
        <v>1563442.6</v>
      </c>
      <c r="H46" s="116">
        <v>284260.02</v>
      </c>
      <c r="I46" s="116">
        <v>332241.35</v>
      </c>
      <c r="J46" s="116">
        <v>0</v>
      </c>
      <c r="K46" s="116">
        <v>0</v>
      </c>
      <c r="L46" s="116">
        <v>0</v>
      </c>
      <c r="M46" s="118">
        <v>332241.35</v>
      </c>
      <c r="N46" s="117">
        <v>1859868.24</v>
      </c>
      <c r="O46" s="119">
        <v>0</v>
      </c>
      <c r="P46" s="119">
        <v>4039812.21</v>
      </c>
      <c r="Q46" s="128">
        <v>269.6222</v>
      </c>
      <c r="S46" s="160">
        <f t="shared" si="4"/>
        <v>274559.91724962764</v>
      </c>
      <c r="T46" s="128">
        <f t="shared" si="1"/>
        <v>274812.8319962537</v>
      </c>
      <c r="Z46" s="116">
        <v>44</v>
      </c>
      <c r="AA46" s="116" t="s">
        <v>340</v>
      </c>
      <c r="AB46" s="116">
        <v>7903296.748438329</v>
      </c>
      <c r="AD46" s="116">
        <v>44</v>
      </c>
      <c r="AE46" s="116" t="s">
        <v>340</v>
      </c>
      <c r="AF46" s="116">
        <v>7128614.82779353</v>
      </c>
    </row>
    <row r="47" spans="1:32" ht="12.75">
      <c r="A47" s="114">
        <v>46</v>
      </c>
      <c r="B47" s="115">
        <v>22687030.89</v>
      </c>
      <c r="C47" s="116">
        <v>0</v>
      </c>
      <c r="D47" s="116">
        <v>0</v>
      </c>
      <c r="E47" s="116">
        <v>1307851.92</v>
      </c>
      <c r="F47" s="116">
        <v>0</v>
      </c>
      <c r="G47" s="117">
        <v>21379178.97</v>
      </c>
      <c r="H47" s="116">
        <v>5456555.84</v>
      </c>
      <c r="I47" s="116">
        <v>3421382.44</v>
      </c>
      <c r="J47" s="116">
        <v>28324.81</v>
      </c>
      <c r="K47" s="116">
        <v>44811.29</v>
      </c>
      <c r="L47" s="116">
        <v>54437.41</v>
      </c>
      <c r="M47" s="118">
        <v>3350458.55</v>
      </c>
      <c r="N47" s="117">
        <v>23949461.509999998</v>
      </c>
      <c r="O47" s="119">
        <v>116549.93</v>
      </c>
      <c r="P47" s="119">
        <v>54135654.87</v>
      </c>
      <c r="Q47" s="128">
        <v>5316.788320000001</v>
      </c>
      <c r="S47" s="160">
        <f t="shared" si="4"/>
        <v>5270356.672422199</v>
      </c>
      <c r="T47" s="128">
        <f t="shared" si="1"/>
        <v>5698987.4176272275</v>
      </c>
      <c r="Z47" s="116">
        <v>45</v>
      </c>
      <c r="AA47" s="116" t="s">
        <v>341</v>
      </c>
      <c r="AB47" s="116">
        <v>274559.91724962764</v>
      </c>
      <c r="AD47" s="116">
        <v>45</v>
      </c>
      <c r="AE47" s="116" t="s">
        <v>341</v>
      </c>
      <c r="AF47" s="116">
        <v>274812.8319962537</v>
      </c>
    </row>
    <row r="48" spans="1:32" ht="12.75">
      <c r="A48" s="114">
        <v>47</v>
      </c>
      <c r="B48" s="115">
        <v>0</v>
      </c>
      <c r="C48" s="116">
        <v>0</v>
      </c>
      <c r="D48" s="116">
        <v>0</v>
      </c>
      <c r="E48" s="116">
        <v>0</v>
      </c>
      <c r="F48" s="116">
        <v>0</v>
      </c>
      <c r="G48" s="117">
        <v>0</v>
      </c>
      <c r="H48" s="116" t="s">
        <v>622</v>
      </c>
      <c r="I48" s="116">
        <v>0</v>
      </c>
      <c r="J48" s="116">
        <v>0</v>
      </c>
      <c r="K48" s="116">
        <v>0</v>
      </c>
      <c r="L48" s="116">
        <v>0</v>
      </c>
      <c r="M48" s="118">
        <v>0</v>
      </c>
      <c r="N48" s="117">
        <v>0</v>
      </c>
      <c r="O48" s="119">
        <v>0</v>
      </c>
      <c r="P48" s="119">
        <v>0</v>
      </c>
      <c r="Q48" s="128">
        <v>0</v>
      </c>
      <c r="R48" s="128">
        <v>9347.86421</v>
      </c>
      <c r="S48" s="160">
        <v>0</v>
      </c>
      <c r="T48" s="128">
        <v>0</v>
      </c>
      <c r="Z48" s="116">
        <v>46</v>
      </c>
      <c r="AA48" s="116" t="s">
        <v>342</v>
      </c>
      <c r="AB48" s="116">
        <v>5270356.672422199</v>
      </c>
      <c r="AD48" s="116">
        <v>46</v>
      </c>
      <c r="AE48" s="116" t="s">
        <v>342</v>
      </c>
      <c r="AF48" s="116">
        <v>5698987.4176272275</v>
      </c>
    </row>
    <row r="49" spans="1:32" ht="12.75">
      <c r="A49" s="114">
        <v>48</v>
      </c>
      <c r="B49" s="115">
        <v>15766203</v>
      </c>
      <c r="C49" s="116">
        <v>0</v>
      </c>
      <c r="D49" s="116">
        <v>0</v>
      </c>
      <c r="E49" s="116">
        <v>6981.99</v>
      </c>
      <c r="F49" s="116">
        <v>0</v>
      </c>
      <c r="G49" s="117">
        <v>15759221.01</v>
      </c>
      <c r="H49" s="116">
        <v>2954604.5</v>
      </c>
      <c r="I49" s="116">
        <v>1504385.15</v>
      </c>
      <c r="J49" s="116">
        <v>0</v>
      </c>
      <c r="K49" s="116">
        <v>105133.72</v>
      </c>
      <c r="L49" s="116">
        <v>32393.46</v>
      </c>
      <c r="M49" s="118">
        <v>1366857.97</v>
      </c>
      <c r="N49" s="117">
        <v>11432111.380000003</v>
      </c>
      <c r="O49" s="119">
        <v>3000</v>
      </c>
      <c r="P49" s="119">
        <v>31512794.86</v>
      </c>
      <c r="Q49" s="128">
        <v>3888.1125399999996</v>
      </c>
      <c r="S49" s="160">
        <f t="shared" si="4"/>
        <v>2853781.7485864824</v>
      </c>
      <c r="T49" s="128">
        <f t="shared" si="1"/>
        <v>3597345.0221148944</v>
      </c>
      <c r="Z49" s="116">
        <v>47</v>
      </c>
      <c r="AA49" s="116" t="s">
        <v>343</v>
      </c>
      <c r="AB49" s="116">
        <v>8317818.533696908</v>
      </c>
      <c r="AD49" s="116">
        <v>47</v>
      </c>
      <c r="AE49" s="116" t="s">
        <v>343</v>
      </c>
      <c r="AF49" s="116">
        <v>9146161.493296081</v>
      </c>
    </row>
    <row r="50" spans="1:32" ht="12.75">
      <c r="A50" s="114">
        <v>49</v>
      </c>
      <c r="B50" s="115">
        <v>4320838.58</v>
      </c>
      <c r="C50" s="116">
        <v>0</v>
      </c>
      <c r="D50" s="116">
        <v>0</v>
      </c>
      <c r="E50" s="116">
        <v>3604.37</v>
      </c>
      <c r="F50" s="116">
        <v>0</v>
      </c>
      <c r="G50" s="117">
        <v>4317234.21</v>
      </c>
      <c r="H50" s="116">
        <v>871175</v>
      </c>
      <c r="I50" s="116">
        <v>1079563.6</v>
      </c>
      <c r="J50" s="116">
        <v>0</v>
      </c>
      <c r="K50" s="116">
        <v>0</v>
      </c>
      <c r="L50" s="116">
        <v>16464.51</v>
      </c>
      <c r="M50" s="118">
        <v>1063099.09</v>
      </c>
      <c r="N50" s="117">
        <v>4841651.7</v>
      </c>
      <c r="O50" s="119">
        <v>0</v>
      </c>
      <c r="P50" s="119">
        <v>11093160</v>
      </c>
      <c r="Q50" s="128">
        <v>786.48326</v>
      </c>
      <c r="S50" s="160">
        <f t="shared" si="4"/>
        <v>839347.5731136713</v>
      </c>
      <c r="T50" s="128">
        <f t="shared" si="1"/>
        <v>856725.2494746596</v>
      </c>
      <c r="Z50" s="116">
        <v>48</v>
      </c>
      <c r="AA50" s="116" t="s">
        <v>344</v>
      </c>
      <c r="AB50" s="116">
        <v>2853781.7485864824</v>
      </c>
      <c r="AD50" s="116">
        <v>48</v>
      </c>
      <c r="AE50" s="116" t="s">
        <v>344</v>
      </c>
      <c r="AF50" s="116">
        <v>3597345.0221148944</v>
      </c>
    </row>
    <row r="51" spans="1:32" ht="12.75">
      <c r="A51" s="114">
        <v>50</v>
      </c>
      <c r="B51" s="115">
        <v>10909171.32</v>
      </c>
      <c r="C51" s="116">
        <v>87343</v>
      </c>
      <c r="D51" s="116">
        <v>176282</v>
      </c>
      <c r="E51" s="116">
        <v>128496</v>
      </c>
      <c r="F51" s="116">
        <v>554128</v>
      </c>
      <c r="G51" s="117">
        <v>10137608.32</v>
      </c>
      <c r="H51" s="116">
        <v>1839923</v>
      </c>
      <c r="I51" s="116">
        <v>1378380.83</v>
      </c>
      <c r="J51" s="116">
        <v>0</v>
      </c>
      <c r="K51" s="116">
        <v>0</v>
      </c>
      <c r="L51" s="116">
        <v>0</v>
      </c>
      <c r="M51" s="118">
        <v>1378380.83</v>
      </c>
      <c r="N51" s="117">
        <v>7100952.819999998</v>
      </c>
      <c r="O51" s="119">
        <v>40000</v>
      </c>
      <c r="P51" s="119">
        <v>20456864.97</v>
      </c>
      <c r="Q51" s="128">
        <v>2117.74435</v>
      </c>
      <c r="S51" s="160">
        <f t="shared" si="4"/>
        <v>1772702.0744160737</v>
      </c>
      <c r="T51" s="128">
        <f t="shared" si="1"/>
        <v>2033314.614879385</v>
      </c>
      <c r="Z51" s="116">
        <v>49</v>
      </c>
      <c r="AA51" s="116" t="s">
        <v>345</v>
      </c>
      <c r="AB51" s="116">
        <v>839347.5731136713</v>
      </c>
      <c r="AD51" s="116">
        <v>49</v>
      </c>
      <c r="AE51" s="116" t="s">
        <v>345</v>
      </c>
      <c r="AF51" s="116">
        <v>856725.2494746596</v>
      </c>
    </row>
    <row r="52" spans="1:32" ht="12.75">
      <c r="A52" s="114">
        <v>51</v>
      </c>
      <c r="B52" s="115">
        <v>3172187.87</v>
      </c>
      <c r="C52" s="116">
        <v>0</v>
      </c>
      <c r="D52" s="116">
        <v>0</v>
      </c>
      <c r="E52" s="116">
        <v>0</v>
      </c>
      <c r="F52" s="116">
        <v>0</v>
      </c>
      <c r="G52" s="117">
        <v>3172187.87</v>
      </c>
      <c r="H52" s="116">
        <v>1327283.56</v>
      </c>
      <c r="I52" s="116">
        <v>1241531.17</v>
      </c>
      <c r="J52" s="116">
        <v>0</v>
      </c>
      <c r="K52" s="116">
        <v>0</v>
      </c>
      <c r="L52" s="116">
        <v>0</v>
      </c>
      <c r="M52" s="118">
        <v>1241531.17</v>
      </c>
      <c r="N52" s="117">
        <v>9217801.520000001</v>
      </c>
      <c r="O52" s="119">
        <v>121974.76</v>
      </c>
      <c r="P52" s="119">
        <v>14958804.120000001</v>
      </c>
      <c r="Q52" s="128">
        <v>1333.88887</v>
      </c>
      <c r="S52" s="160">
        <f t="shared" si="4"/>
        <v>1278792.6580594068</v>
      </c>
      <c r="T52" s="128">
        <f t="shared" si="1"/>
        <v>1299729.5414904784</v>
      </c>
      <c r="Z52" s="116">
        <v>50</v>
      </c>
      <c r="AA52" s="116" t="s">
        <v>346</v>
      </c>
      <c r="AB52" s="116">
        <v>1772702.0744160737</v>
      </c>
      <c r="AD52" s="116">
        <v>50</v>
      </c>
      <c r="AE52" s="116" t="s">
        <v>346</v>
      </c>
      <c r="AF52" s="116">
        <v>2033314.614879385</v>
      </c>
    </row>
    <row r="53" spans="1:32" ht="12.75">
      <c r="A53" s="114">
        <v>52</v>
      </c>
      <c r="B53" s="115">
        <v>24420775.92</v>
      </c>
      <c r="C53" s="116">
        <v>438322.59</v>
      </c>
      <c r="D53" s="116">
        <v>546790.29</v>
      </c>
      <c r="E53" s="116">
        <v>906045.69</v>
      </c>
      <c r="F53" s="116">
        <v>0</v>
      </c>
      <c r="G53" s="117">
        <v>23406262.53</v>
      </c>
      <c r="H53" s="116">
        <v>3620452.58</v>
      </c>
      <c r="I53" s="116">
        <v>4745374.09</v>
      </c>
      <c r="J53" s="116">
        <v>0</v>
      </c>
      <c r="K53" s="116">
        <v>0</v>
      </c>
      <c r="L53" s="116">
        <v>93367.89</v>
      </c>
      <c r="M53" s="118">
        <v>4652006.2</v>
      </c>
      <c r="N53" s="117">
        <v>9216881.57</v>
      </c>
      <c r="O53" s="119">
        <v>0</v>
      </c>
      <c r="P53" s="119">
        <v>40895602.88</v>
      </c>
      <c r="Q53" s="128">
        <v>3448.56096</v>
      </c>
      <c r="S53" s="160">
        <f t="shared" si="4"/>
        <v>3496908.511274469</v>
      </c>
      <c r="T53" s="128">
        <f t="shared" si="1"/>
        <v>3348061.2510144673</v>
      </c>
      <c r="Z53" s="116">
        <v>51</v>
      </c>
      <c r="AA53" s="116" t="s">
        <v>347</v>
      </c>
      <c r="AB53" s="116">
        <v>1278792.6580594068</v>
      </c>
      <c r="AD53" s="116">
        <v>51</v>
      </c>
      <c r="AE53" s="116" t="s">
        <v>347</v>
      </c>
      <c r="AF53" s="116">
        <v>1299729.5414904784</v>
      </c>
    </row>
    <row r="54" spans="1:32" ht="12.75">
      <c r="A54" s="114">
        <v>53</v>
      </c>
      <c r="B54" s="115">
        <v>118546195.77</v>
      </c>
      <c r="C54" s="116">
        <v>0</v>
      </c>
      <c r="D54" s="116">
        <v>0</v>
      </c>
      <c r="E54" s="116">
        <v>0</v>
      </c>
      <c r="F54" s="116">
        <v>0</v>
      </c>
      <c r="G54" s="117">
        <v>118546195.77</v>
      </c>
      <c r="H54" s="116">
        <v>46011495.79</v>
      </c>
      <c r="I54" s="116">
        <v>18640258.16</v>
      </c>
      <c r="J54" s="116">
        <v>0</v>
      </c>
      <c r="K54" s="116">
        <v>0</v>
      </c>
      <c r="L54" s="116">
        <v>22533.88</v>
      </c>
      <c r="M54" s="118">
        <v>18617724.28</v>
      </c>
      <c r="N54" s="117">
        <v>535590243.9499999</v>
      </c>
      <c r="O54" s="119">
        <v>0</v>
      </c>
      <c r="P54" s="119">
        <v>718765659.79</v>
      </c>
      <c r="Q54" s="128">
        <v>53478.89291</v>
      </c>
      <c r="S54" s="160">
        <f t="shared" si="4"/>
        <v>44441402.257856846</v>
      </c>
      <c r="T54" s="128">
        <f t="shared" si="1"/>
        <v>53553962.92158688</v>
      </c>
      <c r="Z54" s="116">
        <v>52</v>
      </c>
      <c r="AA54" s="116" t="s">
        <v>348</v>
      </c>
      <c r="AB54" s="116">
        <v>3496908.511274469</v>
      </c>
      <c r="AD54" s="116">
        <v>52</v>
      </c>
      <c r="AE54" s="116" t="s">
        <v>348</v>
      </c>
      <c r="AF54" s="116">
        <v>3348061.2510144673</v>
      </c>
    </row>
    <row r="55" spans="1:32" ht="12.75">
      <c r="A55" s="114">
        <v>54</v>
      </c>
      <c r="B55" s="115">
        <v>13994923.58</v>
      </c>
      <c r="C55" s="116">
        <v>0</v>
      </c>
      <c r="D55" s="116">
        <v>0</v>
      </c>
      <c r="E55" s="116">
        <v>598820</v>
      </c>
      <c r="F55" s="116">
        <v>0</v>
      </c>
      <c r="G55" s="117">
        <v>13396103.58</v>
      </c>
      <c r="H55" s="116">
        <v>4380655.22</v>
      </c>
      <c r="I55" s="116">
        <v>2705410.05</v>
      </c>
      <c r="J55" s="116">
        <v>0</v>
      </c>
      <c r="K55" s="116">
        <v>0</v>
      </c>
      <c r="L55" s="116">
        <v>69586.63</v>
      </c>
      <c r="M55" s="118">
        <v>2635823.42</v>
      </c>
      <c r="N55" s="117">
        <v>24145279.87</v>
      </c>
      <c r="O55" s="119">
        <v>701415.04</v>
      </c>
      <c r="P55" s="119">
        <v>44557862.09</v>
      </c>
      <c r="Q55" s="128">
        <v>4581.6443500000005</v>
      </c>
      <c r="S55" s="160">
        <f t="shared" si="4"/>
        <v>4220612.640981368</v>
      </c>
      <c r="T55" s="128">
        <f t="shared" si="1"/>
        <v>4438302.32221272</v>
      </c>
      <c r="Z55" s="116">
        <v>53</v>
      </c>
      <c r="AA55" s="116" t="s">
        <v>349</v>
      </c>
      <c r="AB55" s="116">
        <v>44441402.257856846</v>
      </c>
      <c r="AD55" s="116">
        <v>53</v>
      </c>
      <c r="AE55" s="116" t="s">
        <v>349</v>
      </c>
      <c r="AF55" s="116">
        <v>53553962.92158688</v>
      </c>
    </row>
    <row r="56" spans="1:32" ht="12.75">
      <c r="A56" s="114">
        <v>55</v>
      </c>
      <c r="B56" s="115">
        <v>9775349.77</v>
      </c>
      <c r="C56" s="116">
        <v>0</v>
      </c>
      <c r="D56" s="116">
        <v>0</v>
      </c>
      <c r="E56" s="116">
        <v>300000</v>
      </c>
      <c r="F56" s="116">
        <v>0</v>
      </c>
      <c r="G56" s="117">
        <v>9475349.77</v>
      </c>
      <c r="H56" s="116">
        <v>1736457.78</v>
      </c>
      <c r="I56" s="116">
        <v>2035443.31</v>
      </c>
      <c r="J56" s="116">
        <v>0</v>
      </c>
      <c r="K56" s="116">
        <v>0</v>
      </c>
      <c r="L56" s="116">
        <v>0</v>
      </c>
      <c r="M56" s="118">
        <v>2035443.31</v>
      </c>
      <c r="N56" s="117">
        <v>3306284.72</v>
      </c>
      <c r="O56" s="119">
        <v>489.5</v>
      </c>
      <c r="P56" s="119">
        <v>16553535.58</v>
      </c>
      <c r="Q56" s="128">
        <v>1620.69265</v>
      </c>
      <c r="S56" s="160">
        <f t="shared" si="4"/>
        <v>1677202.9727640294</v>
      </c>
      <c r="T56" s="128">
        <f t="shared" si="1"/>
        <v>1555771.005180977</v>
      </c>
      <c r="Z56" s="116">
        <v>54</v>
      </c>
      <c r="AA56" s="116" t="s">
        <v>350</v>
      </c>
      <c r="AB56" s="116">
        <v>4220612.640981368</v>
      </c>
      <c r="AD56" s="116">
        <v>54</v>
      </c>
      <c r="AE56" s="116" t="s">
        <v>350</v>
      </c>
      <c r="AF56" s="116">
        <v>4438302.32221272</v>
      </c>
    </row>
    <row r="57" spans="1:32" ht="12.75">
      <c r="A57" s="114">
        <v>56</v>
      </c>
      <c r="B57" s="115">
        <v>7614185.459999999</v>
      </c>
      <c r="C57" s="116">
        <v>0</v>
      </c>
      <c r="D57" s="116">
        <v>0</v>
      </c>
      <c r="E57" s="116">
        <v>121455</v>
      </c>
      <c r="F57" s="116">
        <v>0</v>
      </c>
      <c r="G57" s="117">
        <v>7492730.459999999</v>
      </c>
      <c r="H57" s="116">
        <v>1854641.98</v>
      </c>
      <c r="I57" s="116">
        <v>973896.46</v>
      </c>
      <c r="J57" s="116">
        <v>0</v>
      </c>
      <c r="K57" s="116">
        <v>0</v>
      </c>
      <c r="L57" s="116">
        <v>0</v>
      </c>
      <c r="M57" s="118">
        <v>973896.46</v>
      </c>
      <c r="N57" s="117">
        <v>7658615.770000001</v>
      </c>
      <c r="O57" s="119">
        <v>0</v>
      </c>
      <c r="P57" s="119">
        <v>17979884.67</v>
      </c>
      <c r="Q57" s="128">
        <v>1845.58913</v>
      </c>
      <c r="S57" s="160">
        <f t="shared" si="4"/>
        <v>1791354.2427074888</v>
      </c>
      <c r="T57" s="128">
        <f t="shared" si="1"/>
        <v>1832085.5466416911</v>
      </c>
      <c r="Z57" s="116">
        <v>55</v>
      </c>
      <c r="AA57" s="116" t="s">
        <v>351</v>
      </c>
      <c r="AB57" s="116">
        <v>1677202.9727640294</v>
      </c>
      <c r="AD57" s="116">
        <v>55</v>
      </c>
      <c r="AE57" s="116" t="s">
        <v>351</v>
      </c>
      <c r="AF57" s="116">
        <v>1555771.005180977</v>
      </c>
    </row>
    <row r="58" spans="1:32" ht="12.75">
      <c r="A58" s="114">
        <v>57</v>
      </c>
      <c r="B58" s="115">
        <v>4922239.87</v>
      </c>
      <c r="C58" s="116">
        <v>0</v>
      </c>
      <c r="D58" s="116">
        <v>0</v>
      </c>
      <c r="E58" s="116">
        <v>120064.6</v>
      </c>
      <c r="F58" s="116">
        <v>0</v>
      </c>
      <c r="G58" s="117">
        <v>4802175.27</v>
      </c>
      <c r="H58" s="116">
        <v>1089920.76</v>
      </c>
      <c r="I58" s="116">
        <v>731603.35</v>
      </c>
      <c r="J58" s="116">
        <v>0</v>
      </c>
      <c r="K58" s="116">
        <v>0</v>
      </c>
      <c r="L58" s="116">
        <v>0</v>
      </c>
      <c r="M58" s="118">
        <v>731603.35</v>
      </c>
      <c r="N58" s="117">
        <v>5603213.0600000005</v>
      </c>
      <c r="O58" s="119">
        <v>0</v>
      </c>
      <c r="P58" s="119">
        <v>12226912.44</v>
      </c>
      <c r="Q58" s="128">
        <v>1277.98332</v>
      </c>
      <c r="S58" s="160">
        <f t="shared" si="4"/>
        <v>1052728.378367458</v>
      </c>
      <c r="T58" s="128">
        <f t="shared" si="1"/>
        <v>1181094.4937981064</v>
      </c>
      <c r="Z58" s="116">
        <v>56</v>
      </c>
      <c r="AA58" s="116" t="s">
        <v>352</v>
      </c>
      <c r="AB58" s="116">
        <v>1791354.2427074888</v>
      </c>
      <c r="AD58" s="116">
        <v>56</v>
      </c>
      <c r="AE58" s="116" t="s">
        <v>352</v>
      </c>
      <c r="AF58" s="116">
        <v>1832085.5466416911</v>
      </c>
    </row>
    <row r="59" spans="1:32" ht="12.75">
      <c r="A59" s="114">
        <v>58</v>
      </c>
      <c r="B59" s="115">
        <v>24410207.640000004</v>
      </c>
      <c r="C59" s="116">
        <v>34143</v>
      </c>
      <c r="D59" s="116">
        <v>222781</v>
      </c>
      <c r="E59" s="116">
        <v>892093</v>
      </c>
      <c r="F59" s="116">
        <v>0</v>
      </c>
      <c r="G59" s="117">
        <v>23329476.640000004</v>
      </c>
      <c r="H59" s="116">
        <v>3951059.32</v>
      </c>
      <c r="I59" s="116">
        <v>4186959.57</v>
      </c>
      <c r="J59" s="116">
        <v>0</v>
      </c>
      <c r="K59" s="116">
        <v>0</v>
      </c>
      <c r="L59" s="116">
        <v>42141</v>
      </c>
      <c r="M59" s="118">
        <v>4144818.57</v>
      </c>
      <c r="N59" s="117">
        <v>10919301.299999993</v>
      </c>
      <c r="O59" s="119">
        <v>315543.17</v>
      </c>
      <c r="P59" s="119">
        <v>42344655.83</v>
      </c>
      <c r="Q59" s="128">
        <v>4658.18871</v>
      </c>
      <c r="S59" s="160">
        <f t="shared" si="4"/>
        <v>3816233.632423492</v>
      </c>
      <c r="T59" s="128">
        <f t="shared" si="1"/>
        <v>3950246.7462630887</v>
      </c>
      <c r="Z59" s="116">
        <v>57</v>
      </c>
      <c r="AA59" s="116" t="s">
        <v>353</v>
      </c>
      <c r="AB59" s="116">
        <v>1052728.378367458</v>
      </c>
      <c r="AD59" s="116">
        <v>57</v>
      </c>
      <c r="AE59" s="116" t="s">
        <v>353</v>
      </c>
      <c r="AF59" s="116">
        <v>1181094.4937981064</v>
      </c>
    </row>
    <row r="60" spans="1:32" ht="12.75">
      <c r="A60" s="114">
        <v>59</v>
      </c>
      <c r="B60" s="115">
        <v>3958047.65</v>
      </c>
      <c r="C60" s="116">
        <v>0</v>
      </c>
      <c r="D60" s="116">
        <v>0</v>
      </c>
      <c r="E60" s="116">
        <v>355637</v>
      </c>
      <c r="F60" s="116">
        <v>10000</v>
      </c>
      <c r="G60" s="117">
        <v>3592410.65</v>
      </c>
      <c r="H60" s="116">
        <v>1235140.5</v>
      </c>
      <c r="I60" s="116">
        <v>903097.85</v>
      </c>
      <c r="J60" s="116">
        <v>0</v>
      </c>
      <c r="K60" s="116">
        <v>0</v>
      </c>
      <c r="L60" s="116">
        <v>14729</v>
      </c>
      <c r="M60" s="118">
        <v>888368.85</v>
      </c>
      <c r="N60" s="117">
        <v>6780453.6899999995</v>
      </c>
      <c r="O60" s="119">
        <v>88123.23</v>
      </c>
      <c r="P60" s="119">
        <v>12496373.69</v>
      </c>
      <c r="Q60" s="128">
        <v>1255.34998</v>
      </c>
      <c r="S60" s="160">
        <f t="shared" si="4"/>
        <v>1192992.683918898</v>
      </c>
      <c r="T60" s="128">
        <f t="shared" si="1"/>
        <v>1150309.4497766683</v>
      </c>
      <c r="Z60" s="116">
        <v>58</v>
      </c>
      <c r="AA60" s="116" t="s">
        <v>354</v>
      </c>
      <c r="AB60" s="116">
        <v>3816233.632423492</v>
      </c>
      <c r="AD60" s="116">
        <v>58</v>
      </c>
      <c r="AE60" s="116" t="s">
        <v>354</v>
      </c>
      <c r="AF60" s="116">
        <v>3950246.7462630887</v>
      </c>
    </row>
    <row r="61" spans="1:32" ht="12.75">
      <c r="A61" s="114">
        <v>60</v>
      </c>
      <c r="B61" s="115">
        <v>41276074.209999986</v>
      </c>
      <c r="C61" s="116">
        <v>0</v>
      </c>
      <c r="D61" s="116">
        <v>0</v>
      </c>
      <c r="E61" s="116">
        <v>222509</v>
      </c>
      <c r="F61" s="116">
        <v>0</v>
      </c>
      <c r="G61" s="117">
        <v>41053565.209999986</v>
      </c>
      <c r="H61" s="116">
        <v>10036385.94</v>
      </c>
      <c r="I61" s="116">
        <v>6429254.26</v>
      </c>
      <c r="J61" s="116">
        <v>0</v>
      </c>
      <c r="K61" s="116">
        <v>0</v>
      </c>
      <c r="L61" s="116">
        <v>0</v>
      </c>
      <c r="M61" s="118">
        <v>6429254.26</v>
      </c>
      <c r="N61" s="117">
        <v>36432091.68000002</v>
      </c>
      <c r="O61" s="119">
        <v>21275</v>
      </c>
      <c r="P61" s="119">
        <v>93951297.09</v>
      </c>
      <c r="Q61" s="128">
        <v>9589.12274</v>
      </c>
      <c r="S61" s="160">
        <f t="shared" si="4"/>
        <v>9693904.904414162</v>
      </c>
      <c r="T61" s="128">
        <f t="shared" si="1"/>
        <v>10301726.926198361</v>
      </c>
      <c r="Z61" s="116">
        <v>59</v>
      </c>
      <c r="AA61" s="116" t="s">
        <v>355</v>
      </c>
      <c r="AB61" s="116">
        <v>1192992.683918898</v>
      </c>
      <c r="AD61" s="116">
        <v>59</v>
      </c>
      <c r="AE61" s="116" t="s">
        <v>355</v>
      </c>
      <c r="AF61" s="116">
        <v>1150309.4497766683</v>
      </c>
    </row>
    <row r="62" spans="1:32" ht="12.75">
      <c r="A62" s="114">
        <v>62</v>
      </c>
      <c r="B62" s="115">
        <v>7958927.330000001</v>
      </c>
      <c r="C62" s="116">
        <v>0</v>
      </c>
      <c r="D62" s="116">
        <v>0</v>
      </c>
      <c r="E62" s="116">
        <v>0</v>
      </c>
      <c r="F62" s="116">
        <v>0</v>
      </c>
      <c r="G62" s="117">
        <v>7958927.330000001</v>
      </c>
      <c r="H62" s="116">
        <v>2131087.72</v>
      </c>
      <c r="I62" s="116">
        <v>1811490.02</v>
      </c>
      <c r="J62" s="116">
        <v>0</v>
      </c>
      <c r="K62" s="116">
        <v>0</v>
      </c>
      <c r="L62" s="116">
        <v>10850.91</v>
      </c>
      <c r="M62" s="118">
        <v>1800639.11</v>
      </c>
      <c r="N62" s="117">
        <v>10546999.539999997</v>
      </c>
      <c r="O62" s="119">
        <v>88100</v>
      </c>
      <c r="P62" s="119">
        <v>22437653.7</v>
      </c>
      <c r="Q62" s="128">
        <v>2044.92138</v>
      </c>
      <c r="S62" s="160">
        <f t="shared" si="4"/>
        <v>2053230.6855189542</v>
      </c>
      <c r="T62" s="128">
        <f t="shared" si="1"/>
        <v>2007785.5539835582</v>
      </c>
      <c r="Z62" s="116">
        <v>60</v>
      </c>
      <c r="AA62" s="116" t="s">
        <v>356</v>
      </c>
      <c r="AB62" s="116">
        <v>9693904.904414162</v>
      </c>
      <c r="AD62" s="116">
        <v>60</v>
      </c>
      <c r="AE62" s="116" t="s">
        <v>356</v>
      </c>
      <c r="AF62" s="116">
        <v>10301726.926198361</v>
      </c>
    </row>
    <row r="63" spans="1:32" ht="12.75">
      <c r="A63" s="114">
        <v>63</v>
      </c>
      <c r="B63" s="115">
        <v>10799878.92</v>
      </c>
      <c r="C63" s="116">
        <v>0</v>
      </c>
      <c r="D63" s="116">
        <v>0</v>
      </c>
      <c r="E63" s="116">
        <v>191727.83</v>
      </c>
      <c r="F63" s="116">
        <v>0</v>
      </c>
      <c r="G63" s="117">
        <v>10608151.09</v>
      </c>
      <c r="H63" s="116">
        <v>2590293.82</v>
      </c>
      <c r="I63" s="116">
        <v>978130.53</v>
      </c>
      <c r="J63" s="116">
        <v>0</v>
      </c>
      <c r="K63" s="116">
        <v>0</v>
      </c>
      <c r="L63" s="116">
        <v>18413.68</v>
      </c>
      <c r="M63" s="118">
        <v>959716.85</v>
      </c>
      <c r="N63" s="117">
        <v>10772548.549999999</v>
      </c>
      <c r="O63" s="119">
        <v>0</v>
      </c>
      <c r="P63" s="119">
        <v>24930710.31</v>
      </c>
      <c r="Q63" s="128">
        <v>2718.20561</v>
      </c>
      <c r="S63" s="160">
        <f t="shared" si="4"/>
        <v>2495660.1173913158</v>
      </c>
      <c r="T63" s="128">
        <f t="shared" si="1"/>
        <v>2616728.7418222516</v>
      </c>
      <c r="Z63" s="116">
        <v>62</v>
      </c>
      <c r="AA63" s="116" t="s">
        <v>357</v>
      </c>
      <c r="AB63" s="116">
        <v>2053230.6855189542</v>
      </c>
      <c r="AD63" s="116">
        <v>62</v>
      </c>
      <c r="AE63" s="116" t="s">
        <v>357</v>
      </c>
      <c r="AF63" s="116">
        <v>2007785.5539835582</v>
      </c>
    </row>
    <row r="64" spans="1:32" ht="12.75">
      <c r="A64" s="114">
        <v>65</v>
      </c>
      <c r="B64" s="115">
        <v>9632858.1</v>
      </c>
      <c r="C64" s="116">
        <v>0</v>
      </c>
      <c r="D64" s="116">
        <v>0</v>
      </c>
      <c r="E64" s="116">
        <v>0</v>
      </c>
      <c r="F64" s="116">
        <v>41015</v>
      </c>
      <c r="G64" s="117">
        <v>9591843.1</v>
      </c>
      <c r="H64" s="116">
        <v>1785121.82</v>
      </c>
      <c r="I64" s="116">
        <v>2418747.51</v>
      </c>
      <c r="J64" s="116">
        <v>0</v>
      </c>
      <c r="K64" s="116">
        <v>0</v>
      </c>
      <c r="L64" s="116">
        <v>0</v>
      </c>
      <c r="M64" s="118">
        <v>2418747.51</v>
      </c>
      <c r="N64" s="117">
        <v>7776265.560000002</v>
      </c>
      <c r="O64" s="119">
        <v>284473.33</v>
      </c>
      <c r="P64" s="119">
        <v>21571977.990000002</v>
      </c>
      <c r="Q64" s="128">
        <v>1805.27768</v>
      </c>
      <c r="S64" s="160">
        <f t="shared" si="4"/>
        <v>1724206.436858395</v>
      </c>
      <c r="T64" s="128">
        <f t="shared" si="1"/>
        <v>1690174.002250183</v>
      </c>
      <c r="Z64" s="116">
        <v>63</v>
      </c>
      <c r="AA64" s="116" t="s">
        <v>358</v>
      </c>
      <c r="AB64" s="116">
        <v>2495660.1173913158</v>
      </c>
      <c r="AD64" s="116">
        <v>63</v>
      </c>
      <c r="AE64" s="116" t="s">
        <v>358</v>
      </c>
      <c r="AF64" s="116">
        <v>2616728.7418222516</v>
      </c>
    </row>
    <row r="65" spans="1:32" ht="12.75">
      <c r="A65" s="114">
        <v>66</v>
      </c>
      <c r="B65" s="115">
        <v>4117737.45</v>
      </c>
      <c r="C65" s="116">
        <v>0</v>
      </c>
      <c r="D65" s="116">
        <v>0</v>
      </c>
      <c r="E65" s="116">
        <v>0</v>
      </c>
      <c r="F65" s="116">
        <v>339171.87</v>
      </c>
      <c r="G65" s="117">
        <v>3778565.58</v>
      </c>
      <c r="H65" s="116">
        <v>1428727.08</v>
      </c>
      <c r="I65" s="116">
        <v>1355507.22</v>
      </c>
      <c r="J65" s="116">
        <v>0</v>
      </c>
      <c r="K65" s="116">
        <v>0</v>
      </c>
      <c r="L65" s="116">
        <v>7146.49</v>
      </c>
      <c r="M65" s="118">
        <v>1348360.73</v>
      </c>
      <c r="N65" s="117">
        <v>8110176.6</v>
      </c>
      <c r="O65" s="119">
        <v>0</v>
      </c>
      <c r="P65" s="119">
        <v>14665829.99</v>
      </c>
      <c r="Q65" s="128">
        <v>1433.91004</v>
      </c>
      <c r="S65" s="160">
        <f t="shared" si="4"/>
        <v>1376530.019906421</v>
      </c>
      <c r="T65" s="128">
        <f t="shared" si="1"/>
        <v>1367306.4673911964</v>
      </c>
      <c r="Z65" s="116">
        <v>65</v>
      </c>
      <c r="AA65" s="116" t="s">
        <v>359</v>
      </c>
      <c r="AB65" s="116">
        <v>1724206.436858395</v>
      </c>
      <c r="AD65" s="116">
        <v>65</v>
      </c>
      <c r="AE65" s="116" t="s">
        <v>359</v>
      </c>
      <c r="AF65" s="116">
        <v>1690174.002250183</v>
      </c>
    </row>
    <row r="66" spans="1:32" ht="12.75">
      <c r="A66" s="114">
        <v>67</v>
      </c>
      <c r="B66" s="115">
        <v>13240597.43</v>
      </c>
      <c r="C66" s="116">
        <v>1282810.26</v>
      </c>
      <c r="D66" s="116">
        <v>918229.07</v>
      </c>
      <c r="E66" s="116">
        <v>877696.93</v>
      </c>
      <c r="F66" s="116">
        <v>338247.33</v>
      </c>
      <c r="G66" s="117">
        <v>12389234.36</v>
      </c>
      <c r="H66" s="116">
        <v>2197607.78</v>
      </c>
      <c r="I66" s="116">
        <v>3227704.33</v>
      </c>
      <c r="J66" s="116">
        <v>0</v>
      </c>
      <c r="K66" s="116">
        <v>0</v>
      </c>
      <c r="L66" s="116">
        <v>0</v>
      </c>
      <c r="M66" s="118">
        <v>3227704.33</v>
      </c>
      <c r="N66" s="117">
        <v>4736645.3</v>
      </c>
      <c r="O66" s="119">
        <v>0</v>
      </c>
      <c r="P66" s="119">
        <v>22551191.77</v>
      </c>
      <c r="Q66" s="128">
        <v>2222.58882</v>
      </c>
      <c r="S66" s="160">
        <f t="shared" si="4"/>
        <v>2122616.7515630177</v>
      </c>
      <c r="T66" s="128">
        <f t="shared" si="1"/>
        <v>2142939.4057849944</v>
      </c>
      <c r="Z66" s="116">
        <v>66</v>
      </c>
      <c r="AA66" s="116" t="s">
        <v>360</v>
      </c>
      <c r="AB66" s="116">
        <v>1376530.019906421</v>
      </c>
      <c r="AD66" s="116">
        <v>66</v>
      </c>
      <c r="AE66" s="116" t="s">
        <v>360</v>
      </c>
      <c r="AF66" s="116">
        <v>1367306.4673911964</v>
      </c>
    </row>
    <row r="67" spans="1:32" ht="12.75">
      <c r="A67" s="114">
        <v>68</v>
      </c>
      <c r="B67" s="115">
        <v>20482093.7</v>
      </c>
      <c r="C67" s="116">
        <v>120800.2</v>
      </c>
      <c r="D67" s="116">
        <v>170601.1</v>
      </c>
      <c r="E67" s="116">
        <v>222519</v>
      </c>
      <c r="F67" s="116">
        <v>0</v>
      </c>
      <c r="G67" s="117">
        <v>20209773.799999997</v>
      </c>
      <c r="H67" s="116">
        <v>4279986.14</v>
      </c>
      <c r="I67" s="116">
        <v>2645106.23</v>
      </c>
      <c r="J67" s="116">
        <v>0</v>
      </c>
      <c r="K67" s="116">
        <v>0</v>
      </c>
      <c r="L67" s="116">
        <v>65896</v>
      </c>
      <c r="M67" s="118">
        <v>2579210.23</v>
      </c>
      <c r="N67" s="117">
        <v>17806700.51</v>
      </c>
      <c r="O67" s="119">
        <v>34670.33</v>
      </c>
      <c r="P67" s="119">
        <v>44875670.68</v>
      </c>
      <c r="Q67" s="128">
        <v>5045.78815</v>
      </c>
      <c r="S67" s="160">
        <f t="shared" si="4"/>
        <v>4123621.36586601</v>
      </c>
      <c r="T67" s="128">
        <f aca="true" t="shared" si="5" ref="T67:T129">VLOOKUP($A67,$AD$3:$AF$138,3,FALSE)</f>
        <v>4396254.457207829</v>
      </c>
      <c r="Z67" s="116">
        <v>67</v>
      </c>
      <c r="AA67" s="116" t="s">
        <v>361</v>
      </c>
      <c r="AB67" s="116">
        <v>2122616.7515630177</v>
      </c>
      <c r="AD67" s="116">
        <v>67</v>
      </c>
      <c r="AE67" s="116" t="s">
        <v>361</v>
      </c>
      <c r="AF67" s="116">
        <v>2142939.4057849944</v>
      </c>
    </row>
    <row r="68" spans="1:32" ht="12.75">
      <c r="A68" s="114">
        <v>69</v>
      </c>
      <c r="B68" s="115">
        <v>20395430.36</v>
      </c>
      <c r="C68" s="116">
        <v>0</v>
      </c>
      <c r="D68" s="116">
        <v>0</v>
      </c>
      <c r="E68" s="116">
        <v>448137.42</v>
      </c>
      <c r="F68" s="116">
        <v>0</v>
      </c>
      <c r="G68" s="117">
        <v>19947292.939999998</v>
      </c>
      <c r="H68" s="116">
        <v>3087465.1</v>
      </c>
      <c r="I68" s="116">
        <v>2597768.84</v>
      </c>
      <c r="J68" s="116">
        <v>0</v>
      </c>
      <c r="K68" s="116">
        <v>0</v>
      </c>
      <c r="L68" s="116">
        <v>38674.7</v>
      </c>
      <c r="M68" s="118">
        <v>2559094.14</v>
      </c>
      <c r="N68" s="117">
        <v>9847247.719999999</v>
      </c>
      <c r="O68" s="119">
        <v>551051.26</v>
      </c>
      <c r="P68" s="119">
        <v>35441099.9</v>
      </c>
      <c r="Q68" s="128">
        <v>3567.09994</v>
      </c>
      <c r="S68" s="160">
        <f t="shared" si="4"/>
        <v>2982108.666431417</v>
      </c>
      <c r="T68" s="128">
        <f t="shared" si="5"/>
        <v>2918572.344178792</v>
      </c>
      <c r="Z68" s="116">
        <v>68</v>
      </c>
      <c r="AA68" s="116" t="s">
        <v>362</v>
      </c>
      <c r="AB68" s="116">
        <v>4123621.36586601</v>
      </c>
      <c r="AD68" s="116">
        <v>68</v>
      </c>
      <c r="AE68" s="116" t="s">
        <v>362</v>
      </c>
      <c r="AF68" s="116">
        <v>4396254.457207829</v>
      </c>
    </row>
    <row r="69" spans="1:32" ht="12.75">
      <c r="A69" s="114">
        <v>70</v>
      </c>
      <c r="B69" s="115">
        <v>14184459.28</v>
      </c>
      <c r="C69" s="116">
        <v>0</v>
      </c>
      <c r="D69" s="116">
        <v>55555</v>
      </c>
      <c r="E69" s="116">
        <v>0</v>
      </c>
      <c r="F69" s="116">
        <v>0</v>
      </c>
      <c r="G69" s="117">
        <v>14128904.28</v>
      </c>
      <c r="H69" s="116">
        <v>2400760.96</v>
      </c>
      <c r="I69" s="116">
        <v>2410530.76</v>
      </c>
      <c r="J69" s="116">
        <v>0</v>
      </c>
      <c r="K69" s="116">
        <v>0</v>
      </c>
      <c r="L69" s="116">
        <v>0</v>
      </c>
      <c r="M69" s="118">
        <v>2410530.76</v>
      </c>
      <c r="N69" s="117">
        <v>5809354.23</v>
      </c>
      <c r="O69" s="119">
        <v>157868.33</v>
      </c>
      <c r="P69" s="119">
        <v>24749550.23</v>
      </c>
      <c r="Q69" s="128">
        <v>2564.4110800000003</v>
      </c>
      <c r="S69" s="160">
        <f t="shared" si="4"/>
        <v>2318837.5619887025</v>
      </c>
      <c r="T69" s="128">
        <f t="shared" si="5"/>
        <v>2446284.717605996</v>
      </c>
      <c r="Z69" s="116">
        <v>69</v>
      </c>
      <c r="AA69" s="116" t="s">
        <v>363</v>
      </c>
      <c r="AB69" s="116">
        <v>2982108.666431417</v>
      </c>
      <c r="AD69" s="116">
        <v>69</v>
      </c>
      <c r="AE69" s="116" t="s">
        <v>363</v>
      </c>
      <c r="AF69" s="116">
        <v>2918572.344178792</v>
      </c>
    </row>
    <row r="70" spans="1:32" ht="12.75">
      <c r="A70" s="114">
        <v>71</v>
      </c>
      <c r="B70" s="115">
        <v>47234041.06</v>
      </c>
      <c r="C70" s="116">
        <v>0</v>
      </c>
      <c r="D70" s="116">
        <v>2250</v>
      </c>
      <c r="E70" s="116">
        <v>2500996.05</v>
      </c>
      <c r="F70" s="116">
        <v>0</v>
      </c>
      <c r="G70" s="117">
        <v>44730795.010000005</v>
      </c>
      <c r="H70" s="116">
        <v>8643666.48</v>
      </c>
      <c r="I70" s="116">
        <v>7915311.030000001</v>
      </c>
      <c r="J70" s="116">
        <v>0</v>
      </c>
      <c r="K70" s="116">
        <v>0</v>
      </c>
      <c r="L70" s="116">
        <v>128099.43</v>
      </c>
      <c r="M70" s="118">
        <v>7787211.6000000015</v>
      </c>
      <c r="N70" s="117">
        <v>17330611.76999999</v>
      </c>
      <c r="O70" s="119">
        <v>96376.6</v>
      </c>
      <c r="P70" s="119">
        <v>78492284.86</v>
      </c>
      <c r="Q70" s="128">
        <v>9082.110850000001</v>
      </c>
      <c r="S70" s="160">
        <f t="shared" si="4"/>
        <v>8348710.527237317</v>
      </c>
      <c r="T70" s="128">
        <f t="shared" si="5"/>
        <v>8456125.994376527</v>
      </c>
      <c r="Z70" s="116">
        <v>70</v>
      </c>
      <c r="AA70" s="116" t="s">
        <v>364</v>
      </c>
      <c r="AB70" s="116">
        <v>2318837.5619887025</v>
      </c>
      <c r="AD70" s="116">
        <v>70</v>
      </c>
      <c r="AE70" s="116" t="s">
        <v>364</v>
      </c>
      <c r="AF70" s="116">
        <v>2446284.717605996</v>
      </c>
    </row>
    <row r="71" spans="1:32" ht="12.75">
      <c r="A71" s="114">
        <v>72</v>
      </c>
      <c r="B71" s="115">
        <v>18506621.380000003</v>
      </c>
      <c r="C71" s="116">
        <v>3000</v>
      </c>
      <c r="D71" s="116">
        <v>0</v>
      </c>
      <c r="E71" s="116">
        <v>762440</v>
      </c>
      <c r="F71" s="116">
        <v>169977</v>
      </c>
      <c r="G71" s="117">
        <v>17577204.380000003</v>
      </c>
      <c r="H71" s="116">
        <v>3853303.96</v>
      </c>
      <c r="I71" s="116">
        <v>1527890.74</v>
      </c>
      <c r="J71" s="116">
        <v>0</v>
      </c>
      <c r="K71" s="116">
        <v>0</v>
      </c>
      <c r="L71" s="116">
        <v>0</v>
      </c>
      <c r="M71" s="118">
        <v>1527890.74</v>
      </c>
      <c r="N71" s="117">
        <v>20036353.41</v>
      </c>
      <c r="O71" s="119">
        <v>74217.07</v>
      </c>
      <c r="P71" s="119">
        <v>42994752.49</v>
      </c>
      <c r="Q71" s="128">
        <v>4348.40701</v>
      </c>
      <c r="S71" s="160">
        <f t="shared" si="4"/>
        <v>3712527.5767232254</v>
      </c>
      <c r="T71" s="128">
        <f t="shared" si="5"/>
        <v>4094410.854851288</v>
      </c>
      <c r="Z71" s="116">
        <v>71</v>
      </c>
      <c r="AA71" s="116" t="s">
        <v>365</v>
      </c>
      <c r="AB71" s="116">
        <v>8348710.527237317</v>
      </c>
      <c r="AD71" s="116">
        <v>71</v>
      </c>
      <c r="AE71" s="116" t="s">
        <v>365</v>
      </c>
      <c r="AF71" s="116">
        <v>8456125.994376527</v>
      </c>
    </row>
    <row r="72" spans="1:32" ht="12.75">
      <c r="A72" s="114">
        <v>73</v>
      </c>
      <c r="B72" s="115">
        <v>13831953.85</v>
      </c>
      <c r="C72" s="116">
        <v>0</v>
      </c>
      <c r="D72" s="116">
        <v>0</v>
      </c>
      <c r="E72" s="116">
        <v>0</v>
      </c>
      <c r="F72" s="116">
        <v>0</v>
      </c>
      <c r="G72" s="117">
        <v>13831953.85</v>
      </c>
      <c r="H72" s="116">
        <v>2960011.6</v>
      </c>
      <c r="I72" s="116">
        <v>2567328.9</v>
      </c>
      <c r="J72" s="116">
        <v>0</v>
      </c>
      <c r="K72" s="116">
        <v>0</v>
      </c>
      <c r="L72" s="116">
        <v>0</v>
      </c>
      <c r="M72" s="118">
        <v>2567328.9</v>
      </c>
      <c r="N72" s="117">
        <v>7533418.189999998</v>
      </c>
      <c r="O72" s="119">
        <v>46621.57</v>
      </c>
      <c r="P72" s="119">
        <v>26892712.54</v>
      </c>
      <c r="Q72" s="128">
        <v>2532.69414</v>
      </c>
      <c r="S72" s="160">
        <f t="shared" si="4"/>
        <v>2859004.355708079</v>
      </c>
      <c r="T72" s="128">
        <f t="shared" si="5"/>
        <v>2687309.08665189</v>
      </c>
      <c r="Z72" s="116">
        <v>72</v>
      </c>
      <c r="AA72" s="116" t="s">
        <v>366</v>
      </c>
      <c r="AB72" s="116">
        <v>3712527.5767232254</v>
      </c>
      <c r="AD72" s="116">
        <v>72</v>
      </c>
      <c r="AE72" s="116" t="s">
        <v>366</v>
      </c>
      <c r="AF72" s="116">
        <v>4094410.854851288</v>
      </c>
    </row>
    <row r="73" spans="1:32" ht="12.75">
      <c r="A73" s="114">
        <v>74</v>
      </c>
      <c r="B73" s="115">
        <v>32179889.68</v>
      </c>
      <c r="C73" s="116">
        <v>0</v>
      </c>
      <c r="D73" s="116">
        <v>0</v>
      </c>
      <c r="E73" s="116">
        <v>811377.29</v>
      </c>
      <c r="F73" s="116">
        <v>89089.83</v>
      </c>
      <c r="G73" s="117">
        <v>31279422.560000002</v>
      </c>
      <c r="H73" s="116">
        <v>5591007.73</v>
      </c>
      <c r="I73" s="116">
        <v>6104090.69</v>
      </c>
      <c r="J73" s="116">
        <v>0</v>
      </c>
      <c r="K73" s="116">
        <v>0</v>
      </c>
      <c r="L73" s="116">
        <v>0</v>
      </c>
      <c r="M73" s="118">
        <v>6104090.69</v>
      </c>
      <c r="N73" s="117">
        <v>11877207.289999992</v>
      </c>
      <c r="O73" s="119">
        <v>427737.38</v>
      </c>
      <c r="P73" s="119">
        <v>54851728.269999996</v>
      </c>
      <c r="Q73" s="128">
        <v>6152.973580000001</v>
      </c>
      <c r="S73" s="160">
        <f t="shared" si="4"/>
        <v>5386746.202560628</v>
      </c>
      <c r="T73" s="128">
        <f t="shared" si="5"/>
        <v>5475983.562154857</v>
      </c>
      <c r="Z73" s="116">
        <v>73</v>
      </c>
      <c r="AA73" s="116" t="s">
        <v>367</v>
      </c>
      <c r="AB73" s="116">
        <v>2859004.355708079</v>
      </c>
      <c r="AD73" s="116">
        <v>73</v>
      </c>
      <c r="AE73" s="116" t="s">
        <v>367</v>
      </c>
      <c r="AF73" s="116">
        <v>2687309.08665189</v>
      </c>
    </row>
    <row r="74" spans="1:32" ht="12.75">
      <c r="A74" s="114">
        <v>75</v>
      </c>
      <c r="B74" s="115">
        <v>302875592.84</v>
      </c>
      <c r="C74" s="116">
        <v>0</v>
      </c>
      <c r="D74" s="116">
        <v>0</v>
      </c>
      <c r="E74" s="116">
        <v>0</v>
      </c>
      <c r="F74" s="116">
        <v>0</v>
      </c>
      <c r="G74" s="117">
        <v>302875592.84</v>
      </c>
      <c r="H74" s="116">
        <v>62997957.38</v>
      </c>
      <c r="I74" s="116">
        <v>32194172.759999998</v>
      </c>
      <c r="J74" s="116">
        <v>0</v>
      </c>
      <c r="K74" s="116">
        <v>0</v>
      </c>
      <c r="L74" s="116">
        <v>0</v>
      </c>
      <c r="M74" s="118">
        <v>32194172.759999998</v>
      </c>
      <c r="N74" s="117">
        <v>363796114.90000004</v>
      </c>
      <c r="O74" s="119">
        <v>158698.72</v>
      </c>
      <c r="P74" s="119">
        <v>761863837.88</v>
      </c>
      <c r="Q74" s="128">
        <v>71321.33737000001</v>
      </c>
      <c r="S74" s="160">
        <f t="shared" si="4"/>
        <v>60696393.880459115</v>
      </c>
      <c r="T74" s="128">
        <f t="shared" si="5"/>
        <v>63063538.105282374</v>
      </c>
      <c r="Z74" s="116">
        <v>74</v>
      </c>
      <c r="AA74" s="116" t="s">
        <v>368</v>
      </c>
      <c r="AB74" s="116">
        <v>5386746.202560628</v>
      </c>
      <c r="AD74" s="116">
        <v>74</v>
      </c>
      <c r="AE74" s="116" t="s">
        <v>368</v>
      </c>
      <c r="AF74" s="116">
        <v>5475983.562154857</v>
      </c>
    </row>
    <row r="75" spans="1:32" ht="12.75">
      <c r="A75" s="114">
        <v>77</v>
      </c>
      <c r="B75" s="115">
        <v>23802202.91</v>
      </c>
      <c r="C75" s="116">
        <v>0</v>
      </c>
      <c r="D75" s="116">
        <v>0</v>
      </c>
      <c r="E75" s="116">
        <v>578637.3</v>
      </c>
      <c r="F75" s="116">
        <v>350373</v>
      </c>
      <c r="G75" s="117">
        <v>22873192.61</v>
      </c>
      <c r="H75" s="116">
        <v>4579830.08</v>
      </c>
      <c r="I75" s="116">
        <v>4172331.19</v>
      </c>
      <c r="J75" s="116">
        <v>0</v>
      </c>
      <c r="K75" s="116">
        <v>0</v>
      </c>
      <c r="L75" s="116">
        <v>0</v>
      </c>
      <c r="M75" s="118">
        <v>4172331.19</v>
      </c>
      <c r="N75" s="117">
        <v>12232201.650000002</v>
      </c>
      <c r="O75" s="119">
        <v>118708</v>
      </c>
      <c r="P75" s="119">
        <v>43857555.53</v>
      </c>
      <c r="Q75" s="128">
        <v>4786.81657</v>
      </c>
      <c r="S75" s="160">
        <f t="shared" si="4"/>
        <v>4423548.2319919625</v>
      </c>
      <c r="T75" s="128">
        <f t="shared" si="5"/>
        <v>4161236.9260197757</v>
      </c>
      <c r="Z75" s="116">
        <v>75</v>
      </c>
      <c r="AA75" s="116" t="s">
        <v>369</v>
      </c>
      <c r="AB75" s="116">
        <v>60696393.880459115</v>
      </c>
      <c r="AD75" s="116">
        <v>75</v>
      </c>
      <c r="AE75" s="116" t="s">
        <v>369</v>
      </c>
      <c r="AF75" s="116">
        <v>63063538.105282374</v>
      </c>
    </row>
    <row r="76" spans="1:32" ht="12.75">
      <c r="A76" s="114">
        <v>78</v>
      </c>
      <c r="B76" s="115">
        <v>1926517.08</v>
      </c>
      <c r="C76" s="116">
        <v>0</v>
      </c>
      <c r="D76" s="116">
        <v>0</v>
      </c>
      <c r="E76" s="116">
        <v>108092.78</v>
      </c>
      <c r="F76" s="116">
        <v>0</v>
      </c>
      <c r="G76" s="117">
        <v>1818424.3</v>
      </c>
      <c r="H76" s="116">
        <v>1103052.36</v>
      </c>
      <c r="I76" s="116">
        <v>491154.6</v>
      </c>
      <c r="J76" s="116">
        <v>0</v>
      </c>
      <c r="K76" s="116">
        <v>0</v>
      </c>
      <c r="L76" s="116">
        <v>6804.19</v>
      </c>
      <c r="M76" s="118">
        <v>484350.41</v>
      </c>
      <c r="N76" s="117">
        <v>8132030.77</v>
      </c>
      <c r="O76" s="119">
        <v>0</v>
      </c>
      <c r="P76" s="119">
        <v>11537857.84</v>
      </c>
      <c r="Q76" s="128">
        <v>944.3841</v>
      </c>
      <c r="S76" s="160">
        <f t="shared" si="4"/>
        <v>1065411.85280562</v>
      </c>
      <c r="T76" s="128">
        <f t="shared" si="5"/>
        <v>943073.5436811328</v>
      </c>
      <c r="Z76" s="116">
        <v>77</v>
      </c>
      <c r="AA76" s="116" t="s">
        <v>370</v>
      </c>
      <c r="AB76" s="116">
        <v>4423548.2319919625</v>
      </c>
      <c r="AD76" s="116">
        <v>77</v>
      </c>
      <c r="AE76" s="116" t="s">
        <v>370</v>
      </c>
      <c r="AF76" s="116">
        <v>4161236.9260197757</v>
      </c>
    </row>
    <row r="77" spans="1:32" ht="12.75">
      <c r="A77" s="114">
        <v>79</v>
      </c>
      <c r="B77" s="115">
        <v>5807444.06</v>
      </c>
      <c r="C77" s="116">
        <v>0</v>
      </c>
      <c r="D77" s="116">
        <v>0</v>
      </c>
      <c r="E77" s="116">
        <v>115628</v>
      </c>
      <c r="F77" s="116">
        <v>72317.05</v>
      </c>
      <c r="G77" s="117">
        <v>5619499.01</v>
      </c>
      <c r="H77" s="116">
        <v>1031987.34</v>
      </c>
      <c r="I77" s="116">
        <v>781830.14</v>
      </c>
      <c r="J77" s="116">
        <v>33177.53</v>
      </c>
      <c r="K77" s="116">
        <v>33326.89</v>
      </c>
      <c r="L77" s="116">
        <v>0</v>
      </c>
      <c r="M77" s="118">
        <v>781680.78</v>
      </c>
      <c r="N77" s="117">
        <v>4446758.83</v>
      </c>
      <c r="O77" s="119">
        <v>0</v>
      </c>
      <c r="P77" s="119">
        <v>11879925.96</v>
      </c>
      <c r="Q77" s="128">
        <v>1207.89438</v>
      </c>
      <c r="S77" s="160">
        <f t="shared" si="4"/>
        <v>996771.8734932132</v>
      </c>
      <c r="T77" s="128">
        <f t="shared" si="5"/>
        <v>1051947.479854512</v>
      </c>
      <c r="Z77" s="116">
        <v>78</v>
      </c>
      <c r="AA77" s="116" t="s">
        <v>371</v>
      </c>
      <c r="AB77" s="116">
        <v>1065411.85280562</v>
      </c>
      <c r="AD77" s="116">
        <v>78</v>
      </c>
      <c r="AE77" s="116" t="s">
        <v>371</v>
      </c>
      <c r="AF77" s="116">
        <v>943073.5436811328</v>
      </c>
    </row>
    <row r="78" spans="1:32" ht="12.75">
      <c r="A78" s="114">
        <v>80</v>
      </c>
      <c r="B78" s="115">
        <v>60092106.099999994</v>
      </c>
      <c r="C78" s="116">
        <v>0</v>
      </c>
      <c r="D78" s="116">
        <v>15413.94</v>
      </c>
      <c r="E78" s="116">
        <v>900.45</v>
      </c>
      <c r="F78" s="116">
        <v>95249</v>
      </c>
      <c r="G78" s="117">
        <v>59980542.70999999</v>
      </c>
      <c r="H78" s="116">
        <v>14342770.28</v>
      </c>
      <c r="I78" s="116">
        <v>6697944.579999999</v>
      </c>
      <c r="J78" s="116">
        <v>151635.57</v>
      </c>
      <c r="K78" s="116">
        <v>192480.67</v>
      </c>
      <c r="L78" s="116">
        <v>119282.14</v>
      </c>
      <c r="M78" s="118">
        <v>6537817.34</v>
      </c>
      <c r="N78" s="117">
        <v>60228261.14999999</v>
      </c>
      <c r="O78" s="119">
        <v>18525</v>
      </c>
      <c r="P78" s="119">
        <v>141089391.48</v>
      </c>
      <c r="Q78" s="128">
        <v>14871.43902</v>
      </c>
      <c r="S78" s="160">
        <f t="shared" si="4"/>
        <v>13853338.433399688</v>
      </c>
      <c r="T78" s="128">
        <f t="shared" si="5"/>
        <v>15104944.648274958</v>
      </c>
      <c r="Z78" s="116">
        <v>79</v>
      </c>
      <c r="AA78" s="116" t="s">
        <v>372</v>
      </c>
      <c r="AB78" s="116">
        <v>996771.8734932132</v>
      </c>
      <c r="AD78" s="116">
        <v>79</v>
      </c>
      <c r="AE78" s="116" t="s">
        <v>372</v>
      </c>
      <c r="AF78" s="116">
        <v>1051947.479854512</v>
      </c>
    </row>
    <row r="79" spans="1:32" ht="12.75">
      <c r="A79" s="114">
        <v>81</v>
      </c>
      <c r="B79" s="115">
        <v>10336379.15</v>
      </c>
      <c r="C79" s="116">
        <v>0</v>
      </c>
      <c r="D79" s="116">
        <v>0</v>
      </c>
      <c r="E79" s="116">
        <v>462254</v>
      </c>
      <c r="F79" s="116">
        <v>0</v>
      </c>
      <c r="G79" s="117">
        <v>9874125.15</v>
      </c>
      <c r="H79" s="116">
        <v>2708194.3</v>
      </c>
      <c r="I79" s="116">
        <v>2743601.23</v>
      </c>
      <c r="J79" s="116">
        <v>0</v>
      </c>
      <c r="K79" s="116">
        <v>0</v>
      </c>
      <c r="L79" s="116">
        <v>88139.61</v>
      </c>
      <c r="M79" s="118">
        <v>2655461.62</v>
      </c>
      <c r="N79" s="117">
        <v>12133262.11</v>
      </c>
      <c r="O79" s="119">
        <v>1100395</v>
      </c>
      <c r="P79" s="119">
        <v>27371043.18</v>
      </c>
      <c r="Q79" s="128">
        <v>2800.83859</v>
      </c>
      <c r="S79" s="160">
        <f t="shared" si="4"/>
        <v>2615780.081188028</v>
      </c>
      <c r="T79" s="128">
        <f t="shared" si="5"/>
        <v>2661029.171023833</v>
      </c>
      <c r="Z79" s="116">
        <v>80</v>
      </c>
      <c r="AA79" s="116" t="s">
        <v>373</v>
      </c>
      <c r="AB79" s="116">
        <v>13853338.433399688</v>
      </c>
      <c r="AD79" s="116">
        <v>80</v>
      </c>
      <c r="AE79" s="116" t="s">
        <v>373</v>
      </c>
      <c r="AF79" s="116">
        <v>15104944.648274958</v>
      </c>
    </row>
    <row r="80" spans="1:32" ht="12.75">
      <c r="A80" s="114">
        <v>82</v>
      </c>
      <c r="B80" s="115">
        <v>50405769.38</v>
      </c>
      <c r="C80" s="116">
        <v>0</v>
      </c>
      <c r="D80" s="116">
        <v>0</v>
      </c>
      <c r="E80" s="116">
        <v>1103648</v>
      </c>
      <c r="F80" s="116">
        <v>0</v>
      </c>
      <c r="G80" s="117">
        <v>49302121.38</v>
      </c>
      <c r="H80" s="116">
        <v>11580820.07</v>
      </c>
      <c r="I80" s="116">
        <v>7101452.52</v>
      </c>
      <c r="J80" s="116">
        <v>0</v>
      </c>
      <c r="K80" s="116">
        <v>0</v>
      </c>
      <c r="L80" s="116">
        <v>10391.46</v>
      </c>
      <c r="M80" s="118">
        <v>7091061.06</v>
      </c>
      <c r="N80" s="117">
        <v>42142877.11999999</v>
      </c>
      <c r="O80" s="119">
        <v>0</v>
      </c>
      <c r="P80" s="119">
        <v>110116879.63</v>
      </c>
      <c r="Q80" s="128">
        <v>11431.1683</v>
      </c>
      <c r="S80" s="160">
        <f t="shared" si="4"/>
        <v>11157727.071924403</v>
      </c>
      <c r="T80" s="128">
        <f t="shared" si="5"/>
        <v>11315380.814709133</v>
      </c>
      <c r="Z80" s="116">
        <v>81</v>
      </c>
      <c r="AA80" s="116" t="s">
        <v>374</v>
      </c>
      <c r="AB80" s="116">
        <v>2615780.081188028</v>
      </c>
      <c r="AD80" s="116">
        <v>81</v>
      </c>
      <c r="AE80" s="116" t="s">
        <v>374</v>
      </c>
      <c r="AF80" s="116">
        <v>2661029.171023833</v>
      </c>
    </row>
    <row r="81" spans="1:32" ht="12.75">
      <c r="A81" s="114">
        <v>83</v>
      </c>
      <c r="B81" s="115">
        <v>23766380.94</v>
      </c>
      <c r="C81" s="116">
        <v>52615.73</v>
      </c>
      <c r="D81" s="116">
        <v>123731.95</v>
      </c>
      <c r="E81" s="116">
        <v>874976</v>
      </c>
      <c r="F81" s="116">
        <v>731105</v>
      </c>
      <c r="G81" s="117">
        <v>22089183.720000003</v>
      </c>
      <c r="H81" s="116">
        <v>3899305.5</v>
      </c>
      <c r="I81" s="116">
        <v>5899025.820000001</v>
      </c>
      <c r="J81" s="116">
        <v>0</v>
      </c>
      <c r="K81" s="116">
        <v>0</v>
      </c>
      <c r="L81" s="116">
        <v>0</v>
      </c>
      <c r="M81" s="118">
        <v>5899025.820000001</v>
      </c>
      <c r="N81" s="117">
        <v>7144051.760000002</v>
      </c>
      <c r="O81" s="119">
        <v>20646.01</v>
      </c>
      <c r="P81" s="119">
        <v>39031566.800000004</v>
      </c>
      <c r="Q81" s="128">
        <v>4131.3386900000005</v>
      </c>
      <c r="S81" s="160">
        <f t="shared" si="4"/>
        <v>3766245.8214025004</v>
      </c>
      <c r="T81" s="128">
        <f t="shared" si="5"/>
        <v>3199392.0140328878</v>
      </c>
      <c r="Z81" s="116">
        <v>82</v>
      </c>
      <c r="AA81" s="116" t="s">
        <v>375</v>
      </c>
      <c r="AB81" s="116">
        <v>11157727.071924403</v>
      </c>
      <c r="AD81" s="116">
        <v>82</v>
      </c>
      <c r="AE81" s="116" t="s">
        <v>375</v>
      </c>
      <c r="AF81" s="116">
        <v>11315380.814709133</v>
      </c>
    </row>
    <row r="82" spans="1:32" ht="12.75">
      <c r="A82" s="114">
        <v>84</v>
      </c>
      <c r="B82" s="115">
        <v>23767697.990000002</v>
      </c>
      <c r="C82" s="116">
        <v>0</v>
      </c>
      <c r="D82" s="116">
        <v>0</v>
      </c>
      <c r="E82" s="116">
        <v>0</v>
      </c>
      <c r="F82" s="116">
        <v>0</v>
      </c>
      <c r="G82" s="117">
        <v>23767697.990000002</v>
      </c>
      <c r="H82" s="116">
        <v>3298342.82</v>
      </c>
      <c r="I82" s="116">
        <v>3529685.64</v>
      </c>
      <c r="J82" s="116">
        <v>0</v>
      </c>
      <c r="K82" s="116">
        <v>0</v>
      </c>
      <c r="L82" s="116">
        <v>0</v>
      </c>
      <c r="M82" s="118">
        <v>3529685.64</v>
      </c>
      <c r="N82" s="117">
        <v>6440584.43</v>
      </c>
      <c r="O82" s="119">
        <v>9310</v>
      </c>
      <c r="P82" s="119">
        <v>37036310.88</v>
      </c>
      <c r="Q82" s="128">
        <v>3826.23328</v>
      </c>
      <c r="S82" s="160">
        <f t="shared" si="4"/>
        <v>3185790.344173668</v>
      </c>
      <c r="T82" s="128">
        <f t="shared" si="5"/>
        <v>3273726.6325236773</v>
      </c>
      <c r="Z82" s="116">
        <v>83</v>
      </c>
      <c r="AA82" s="116" t="s">
        <v>376</v>
      </c>
      <c r="AB82" s="116">
        <v>3766245.8214025004</v>
      </c>
      <c r="AD82" s="116">
        <v>83</v>
      </c>
      <c r="AE82" s="116" t="s">
        <v>376</v>
      </c>
      <c r="AF82" s="116">
        <v>3199392.0140328878</v>
      </c>
    </row>
    <row r="83" spans="1:32" ht="12.75">
      <c r="A83" s="114">
        <v>85</v>
      </c>
      <c r="B83" s="115">
        <v>27321808.18</v>
      </c>
      <c r="C83" s="116">
        <v>0</v>
      </c>
      <c r="D83" s="116">
        <v>0</v>
      </c>
      <c r="E83" s="116">
        <v>731690.8</v>
      </c>
      <c r="F83" s="116">
        <v>0</v>
      </c>
      <c r="G83" s="117">
        <v>26590117.38</v>
      </c>
      <c r="H83" s="116">
        <v>5503503.06</v>
      </c>
      <c r="I83" s="116">
        <v>3124587.46</v>
      </c>
      <c r="J83" s="116">
        <v>0</v>
      </c>
      <c r="K83" s="116">
        <v>0</v>
      </c>
      <c r="L83" s="116">
        <v>129121.91</v>
      </c>
      <c r="M83" s="118">
        <v>2995465.55</v>
      </c>
      <c r="N83" s="117">
        <v>25098713.320000008</v>
      </c>
      <c r="O83" s="119">
        <v>1107016.14</v>
      </c>
      <c r="P83" s="119">
        <v>60187799.31</v>
      </c>
      <c r="Q83" s="128">
        <v>6138.91992</v>
      </c>
      <c r="S83" s="160">
        <f t="shared" si="4"/>
        <v>5302438.401883433</v>
      </c>
      <c r="T83" s="128">
        <f t="shared" si="5"/>
        <v>5313048.085260903</v>
      </c>
      <c r="Z83" s="116">
        <v>84</v>
      </c>
      <c r="AA83" s="116" t="s">
        <v>377</v>
      </c>
      <c r="AB83" s="116">
        <v>3185790.344173668</v>
      </c>
      <c r="AD83" s="116">
        <v>84</v>
      </c>
      <c r="AE83" s="116" t="s">
        <v>377</v>
      </c>
      <c r="AF83" s="116">
        <v>3273726.6325236773</v>
      </c>
    </row>
    <row r="84" spans="1:32" ht="12.75">
      <c r="A84" s="114">
        <v>86</v>
      </c>
      <c r="B84" s="115">
        <v>28894536.130000003</v>
      </c>
      <c r="C84" s="116">
        <v>0</v>
      </c>
      <c r="D84" s="116">
        <v>0</v>
      </c>
      <c r="E84" s="116">
        <v>1019282</v>
      </c>
      <c r="F84" s="116">
        <v>0</v>
      </c>
      <c r="G84" s="117">
        <v>27875254.130000003</v>
      </c>
      <c r="H84" s="116">
        <v>4152667.62</v>
      </c>
      <c r="I84" s="116">
        <v>5210146.29</v>
      </c>
      <c r="J84" s="116">
        <v>0</v>
      </c>
      <c r="K84" s="116">
        <v>0</v>
      </c>
      <c r="L84" s="116">
        <v>76613.92</v>
      </c>
      <c r="M84" s="118">
        <v>5133532.37</v>
      </c>
      <c r="N84" s="117">
        <v>9671338.959999993</v>
      </c>
      <c r="O84" s="119">
        <v>0</v>
      </c>
      <c r="P84" s="119">
        <v>46832793.08</v>
      </c>
      <c r="Q84" s="128">
        <v>4870.88319</v>
      </c>
      <c r="S84" s="160">
        <f t="shared" si="4"/>
        <v>4010962.269385864</v>
      </c>
      <c r="T84" s="128">
        <f t="shared" si="5"/>
        <v>4234069.835046105</v>
      </c>
      <c r="Z84" s="116">
        <v>85</v>
      </c>
      <c r="AA84" s="116" t="s">
        <v>378</v>
      </c>
      <c r="AB84" s="116">
        <v>5302438.401883433</v>
      </c>
      <c r="AD84" s="116">
        <v>85</v>
      </c>
      <c r="AE84" s="116" t="s">
        <v>378</v>
      </c>
      <c r="AF84" s="116">
        <v>5313048.085260903</v>
      </c>
    </row>
    <row r="85" spans="1:32" ht="12.75">
      <c r="A85" s="114">
        <v>87</v>
      </c>
      <c r="B85" s="115">
        <v>15031118.69</v>
      </c>
      <c r="C85" s="116">
        <v>45407.73</v>
      </c>
      <c r="D85" s="116">
        <v>33068.62</v>
      </c>
      <c r="E85" s="116">
        <v>369753</v>
      </c>
      <c r="F85" s="116">
        <v>0</v>
      </c>
      <c r="G85" s="117">
        <v>14673704.8</v>
      </c>
      <c r="H85" s="116">
        <v>3167799.5</v>
      </c>
      <c r="I85" s="116">
        <v>2489945.48</v>
      </c>
      <c r="J85" s="116">
        <v>112.02</v>
      </c>
      <c r="K85" s="116">
        <v>177.12</v>
      </c>
      <c r="L85" s="116">
        <v>72799.04</v>
      </c>
      <c r="M85" s="118">
        <v>2417081.34</v>
      </c>
      <c r="N85" s="117">
        <v>8193877.32</v>
      </c>
      <c r="O85" s="119">
        <v>0</v>
      </c>
      <c r="P85" s="119">
        <v>28452462.96</v>
      </c>
      <c r="Q85" s="128">
        <v>2804.40557</v>
      </c>
      <c r="S85" s="160">
        <f t="shared" si="4"/>
        <v>3059701.686523703</v>
      </c>
      <c r="T85" s="128">
        <f t="shared" si="5"/>
        <v>2537138.14020585</v>
      </c>
      <c r="Z85" s="116">
        <v>86</v>
      </c>
      <c r="AA85" s="116" t="s">
        <v>379</v>
      </c>
      <c r="AB85" s="116">
        <v>4010962.269385864</v>
      </c>
      <c r="AD85" s="116">
        <v>86</v>
      </c>
      <c r="AE85" s="116" t="s">
        <v>379</v>
      </c>
      <c r="AF85" s="116">
        <v>4234069.835046105</v>
      </c>
    </row>
    <row r="86" spans="1:32" ht="12.75">
      <c r="A86" s="114">
        <v>88</v>
      </c>
      <c r="B86" s="115">
        <v>104146238.69999999</v>
      </c>
      <c r="C86" s="116">
        <v>0</v>
      </c>
      <c r="D86" s="116">
        <v>0</v>
      </c>
      <c r="E86" s="116">
        <v>3183038.52</v>
      </c>
      <c r="F86" s="116">
        <v>2085182.55</v>
      </c>
      <c r="G86" s="117">
        <v>98878017.63</v>
      </c>
      <c r="H86" s="116">
        <v>21921234.23</v>
      </c>
      <c r="I86" s="116">
        <v>10514031.720000003</v>
      </c>
      <c r="J86" s="116">
        <v>0</v>
      </c>
      <c r="K86" s="116">
        <v>0</v>
      </c>
      <c r="L86" s="116">
        <v>250197.41</v>
      </c>
      <c r="M86" s="118">
        <v>10263834.310000002</v>
      </c>
      <c r="N86" s="117">
        <v>103669076.67</v>
      </c>
      <c r="O86" s="119">
        <v>525503.99</v>
      </c>
      <c r="P86" s="119">
        <v>234732162.84</v>
      </c>
      <c r="Q86" s="128">
        <v>23898.20428</v>
      </c>
      <c r="S86" s="160">
        <f t="shared" si="4"/>
        <v>21173195.35768256</v>
      </c>
      <c r="T86" s="128">
        <f t="shared" si="5"/>
        <v>22599976.58539683</v>
      </c>
      <c r="Z86" s="116">
        <v>87</v>
      </c>
      <c r="AA86" s="116" t="s">
        <v>380</v>
      </c>
      <c r="AB86" s="116">
        <v>3059701.686523703</v>
      </c>
      <c r="AD86" s="116">
        <v>87</v>
      </c>
      <c r="AE86" s="116" t="s">
        <v>380</v>
      </c>
      <c r="AF86" s="116">
        <v>2537138.14020585</v>
      </c>
    </row>
    <row r="87" spans="1:32" ht="12.75">
      <c r="A87" s="114">
        <v>89</v>
      </c>
      <c r="B87" s="115">
        <v>108033302.13999997</v>
      </c>
      <c r="C87" s="116">
        <v>0</v>
      </c>
      <c r="D87" s="116">
        <v>0</v>
      </c>
      <c r="E87" s="116">
        <v>0</v>
      </c>
      <c r="F87" s="116">
        <v>534424.13</v>
      </c>
      <c r="G87" s="117">
        <v>107498878.00999998</v>
      </c>
      <c r="H87" s="116">
        <v>24468789.78</v>
      </c>
      <c r="I87" s="116">
        <v>11144535.769999996</v>
      </c>
      <c r="J87" s="116">
        <v>0</v>
      </c>
      <c r="K87" s="116">
        <v>0</v>
      </c>
      <c r="L87" s="116">
        <v>0</v>
      </c>
      <c r="M87" s="118">
        <v>11144535.769999996</v>
      </c>
      <c r="N87" s="117">
        <v>100930296.31000003</v>
      </c>
      <c r="O87" s="119">
        <v>364387</v>
      </c>
      <c r="P87" s="119">
        <v>244042499.87</v>
      </c>
      <c r="Q87" s="128">
        <v>26142.31021</v>
      </c>
      <c r="S87" s="160">
        <f t="shared" si="4"/>
        <v>23574848.546885144</v>
      </c>
      <c r="T87" s="128">
        <f t="shared" si="5"/>
        <v>22653287.27138517</v>
      </c>
      <c r="Z87" s="116">
        <v>88</v>
      </c>
      <c r="AA87" s="116" t="s">
        <v>381</v>
      </c>
      <c r="AB87" s="116">
        <v>21173195.35768256</v>
      </c>
      <c r="AD87" s="116">
        <v>88</v>
      </c>
      <c r="AE87" s="116" t="s">
        <v>381</v>
      </c>
      <c r="AF87" s="116">
        <v>22599976.58539683</v>
      </c>
    </row>
    <row r="88" spans="1:32" ht="12.75">
      <c r="A88" s="114">
        <v>90</v>
      </c>
      <c r="B88" s="115">
        <v>1868206.91</v>
      </c>
      <c r="C88" s="116">
        <v>0</v>
      </c>
      <c r="D88" s="116">
        <v>0</v>
      </c>
      <c r="E88" s="116">
        <v>0</v>
      </c>
      <c r="F88" s="116">
        <v>0</v>
      </c>
      <c r="G88" s="117">
        <v>1868206.91</v>
      </c>
      <c r="H88" s="116">
        <v>1020400.6</v>
      </c>
      <c r="I88" s="116">
        <v>1014688.19</v>
      </c>
      <c r="J88" s="116">
        <v>0</v>
      </c>
      <c r="K88" s="116">
        <v>0</v>
      </c>
      <c r="L88" s="116">
        <v>0</v>
      </c>
      <c r="M88" s="118">
        <v>1014688.19</v>
      </c>
      <c r="N88" s="117">
        <v>10957270.719999999</v>
      </c>
      <c r="O88" s="119">
        <v>0</v>
      </c>
      <c r="P88" s="119">
        <v>14860566.42</v>
      </c>
      <c r="Q88" s="128">
        <v>992.48329</v>
      </c>
      <c r="S88" s="160">
        <f t="shared" si="4"/>
        <v>985580.5725183643</v>
      </c>
      <c r="T88" s="128">
        <f t="shared" si="5"/>
        <v>921298.7564464569</v>
      </c>
      <c r="Z88" s="116">
        <v>89</v>
      </c>
      <c r="AA88" s="116" t="s">
        <v>382</v>
      </c>
      <c r="AB88" s="116">
        <v>23574848.546885144</v>
      </c>
      <c r="AD88" s="116">
        <v>89</v>
      </c>
      <c r="AE88" s="116" t="s">
        <v>382</v>
      </c>
      <c r="AF88" s="116">
        <v>22653287.27138517</v>
      </c>
    </row>
    <row r="89" spans="1:32" ht="12.75">
      <c r="A89" s="114">
        <v>91</v>
      </c>
      <c r="B89" s="115">
        <v>7665682.22</v>
      </c>
      <c r="C89" s="116">
        <v>0</v>
      </c>
      <c r="D89" s="116">
        <v>0</v>
      </c>
      <c r="E89" s="116">
        <v>119663</v>
      </c>
      <c r="F89" s="116">
        <v>0</v>
      </c>
      <c r="G89" s="117">
        <v>7546019.22</v>
      </c>
      <c r="H89" s="116">
        <v>1307149.72</v>
      </c>
      <c r="I89" s="116">
        <v>1737339.81</v>
      </c>
      <c r="J89" s="116">
        <v>0</v>
      </c>
      <c r="K89" s="116">
        <v>0</v>
      </c>
      <c r="L89" s="116">
        <v>0</v>
      </c>
      <c r="M89" s="118">
        <v>1737339.81</v>
      </c>
      <c r="N89" s="117">
        <v>9041620.510000002</v>
      </c>
      <c r="O89" s="119">
        <v>5350</v>
      </c>
      <c r="P89" s="119">
        <v>19632129.26</v>
      </c>
      <c r="Q89" s="128">
        <v>1286.7888</v>
      </c>
      <c r="S89" s="160">
        <f t="shared" si="4"/>
        <v>1259394.4030363353</v>
      </c>
      <c r="T89" s="128">
        <f t="shared" si="5"/>
        <v>1128534.6625419925</v>
      </c>
      <c r="Z89" s="116">
        <v>90</v>
      </c>
      <c r="AA89" s="116" t="s">
        <v>383</v>
      </c>
      <c r="AB89" s="116">
        <v>985580.5725183643</v>
      </c>
      <c r="AD89" s="116">
        <v>90</v>
      </c>
      <c r="AE89" s="116" t="s">
        <v>383</v>
      </c>
      <c r="AF89" s="116">
        <v>921298.7564464569</v>
      </c>
    </row>
    <row r="90" spans="1:32" ht="12.75">
      <c r="A90" s="114">
        <v>92</v>
      </c>
      <c r="B90" s="115">
        <v>34490989.43</v>
      </c>
      <c r="C90" s="116">
        <v>0</v>
      </c>
      <c r="D90" s="116">
        <v>0</v>
      </c>
      <c r="E90" s="116">
        <v>237379.99</v>
      </c>
      <c r="F90" s="116">
        <v>0</v>
      </c>
      <c r="G90" s="117">
        <v>34253609.44</v>
      </c>
      <c r="H90" s="116">
        <v>6504764.56</v>
      </c>
      <c r="I90" s="116">
        <v>6693652.18</v>
      </c>
      <c r="J90" s="116">
        <v>0</v>
      </c>
      <c r="K90" s="116">
        <v>0</v>
      </c>
      <c r="L90" s="116">
        <v>132133.2</v>
      </c>
      <c r="M90" s="118">
        <v>6561518.9799999995</v>
      </c>
      <c r="N90" s="117">
        <v>12265511.010000005</v>
      </c>
      <c r="O90" s="119">
        <v>0</v>
      </c>
      <c r="P90" s="119">
        <v>59585403.99</v>
      </c>
      <c r="Q90" s="128">
        <v>6664.761039999999</v>
      </c>
      <c r="S90" s="160">
        <f t="shared" si="4"/>
        <v>6282796.367280201</v>
      </c>
      <c r="T90" s="128">
        <f t="shared" si="5"/>
        <v>5120078.419077743</v>
      </c>
      <c r="Z90" s="116">
        <v>91</v>
      </c>
      <c r="AA90" s="116" t="s">
        <v>384</v>
      </c>
      <c r="AB90" s="116">
        <v>1259394.4030363353</v>
      </c>
      <c r="AD90" s="116">
        <v>91</v>
      </c>
      <c r="AE90" s="116" t="s">
        <v>384</v>
      </c>
      <c r="AF90" s="116">
        <v>1128534.6625419925</v>
      </c>
    </row>
    <row r="91" spans="1:32" ht="12.75">
      <c r="A91" s="114">
        <v>93</v>
      </c>
      <c r="B91" s="115">
        <v>21323762.64</v>
      </c>
      <c r="C91" s="116">
        <v>0</v>
      </c>
      <c r="D91" s="116">
        <v>0</v>
      </c>
      <c r="E91" s="116">
        <v>166031</v>
      </c>
      <c r="F91" s="116">
        <v>0</v>
      </c>
      <c r="G91" s="117">
        <v>21157731.64</v>
      </c>
      <c r="H91" s="116">
        <v>5216983.24</v>
      </c>
      <c r="I91" s="116">
        <v>2691697.98</v>
      </c>
      <c r="J91" s="116">
        <v>0</v>
      </c>
      <c r="K91" s="116">
        <v>0</v>
      </c>
      <c r="L91" s="116">
        <v>0</v>
      </c>
      <c r="M91" s="118">
        <v>2691697.98</v>
      </c>
      <c r="N91" s="117">
        <v>18241157.609999996</v>
      </c>
      <c r="O91" s="119">
        <v>0</v>
      </c>
      <c r="P91" s="119">
        <v>47307570.47</v>
      </c>
      <c r="Q91" s="128">
        <v>5262.20734</v>
      </c>
      <c r="S91" s="160">
        <f t="shared" si="4"/>
        <v>5026386.311170492</v>
      </c>
      <c r="T91" s="128">
        <f t="shared" si="5"/>
        <v>5220692.953196589</v>
      </c>
      <c r="Z91" s="116">
        <v>92</v>
      </c>
      <c r="AA91" s="116" t="s">
        <v>385</v>
      </c>
      <c r="AB91" s="116">
        <v>6282796.367280201</v>
      </c>
      <c r="AD91" s="116">
        <v>92</v>
      </c>
      <c r="AE91" s="116" t="s">
        <v>385</v>
      </c>
      <c r="AF91" s="116">
        <v>5120078.419077743</v>
      </c>
    </row>
    <row r="92" spans="1:32" ht="12.75">
      <c r="A92" s="114">
        <v>94</v>
      </c>
      <c r="B92" s="115">
        <v>33488135.800000004</v>
      </c>
      <c r="C92" s="116">
        <v>0</v>
      </c>
      <c r="D92" s="116">
        <v>0</v>
      </c>
      <c r="E92" s="116">
        <v>0</v>
      </c>
      <c r="F92" s="116">
        <v>991650</v>
      </c>
      <c r="G92" s="117">
        <v>32496485.800000004</v>
      </c>
      <c r="H92" s="116">
        <v>6621403.88</v>
      </c>
      <c r="I92" s="116">
        <v>5986011.300000001</v>
      </c>
      <c r="J92" s="116">
        <v>0</v>
      </c>
      <c r="K92" s="116">
        <v>0</v>
      </c>
      <c r="L92" s="116">
        <v>29999.82</v>
      </c>
      <c r="M92" s="118">
        <v>5956011.48</v>
      </c>
      <c r="N92" s="117">
        <v>22533797.679999992</v>
      </c>
      <c r="O92" s="119">
        <v>107297.88</v>
      </c>
      <c r="P92" s="119">
        <v>67607698.84</v>
      </c>
      <c r="Q92" s="128">
        <v>7314.7693</v>
      </c>
      <c r="S92" s="160">
        <f t="shared" si="4"/>
        <v>6395455.463760347</v>
      </c>
      <c r="T92" s="128">
        <f t="shared" si="5"/>
        <v>6521173.349419298</v>
      </c>
      <c r="Z92" s="116">
        <v>93</v>
      </c>
      <c r="AA92" s="116" t="s">
        <v>386</v>
      </c>
      <c r="AB92" s="116">
        <v>5026386.311170492</v>
      </c>
      <c r="AD92" s="116">
        <v>93</v>
      </c>
      <c r="AE92" s="116" t="s">
        <v>386</v>
      </c>
      <c r="AF92" s="116">
        <v>5220692.953196589</v>
      </c>
    </row>
    <row r="93" spans="1:32" ht="12.75">
      <c r="A93" s="114">
        <v>95</v>
      </c>
      <c r="B93" s="115">
        <v>8249704.61</v>
      </c>
      <c r="C93" s="116">
        <v>0</v>
      </c>
      <c r="D93" s="116">
        <v>0</v>
      </c>
      <c r="E93" s="116">
        <v>245045.5</v>
      </c>
      <c r="F93" s="116">
        <v>120226</v>
      </c>
      <c r="G93" s="117">
        <v>7884433.11</v>
      </c>
      <c r="H93" s="116">
        <v>1698272.46</v>
      </c>
      <c r="I93" s="116">
        <v>1972833.23</v>
      </c>
      <c r="J93" s="116">
        <v>0</v>
      </c>
      <c r="K93" s="116">
        <v>0</v>
      </c>
      <c r="L93" s="116">
        <v>0</v>
      </c>
      <c r="M93" s="118">
        <v>1972833.23</v>
      </c>
      <c r="N93" s="117">
        <v>5678446.989999998</v>
      </c>
      <c r="O93" s="119">
        <v>0</v>
      </c>
      <c r="P93" s="119">
        <v>17233985.79</v>
      </c>
      <c r="Q93" s="128">
        <v>1727.11707</v>
      </c>
      <c r="S93" s="160">
        <f t="shared" si="4"/>
        <v>1636168.2025229167</v>
      </c>
      <c r="T93" s="128">
        <f t="shared" si="5"/>
        <v>1361299.629533355</v>
      </c>
      <c r="Z93" s="116">
        <v>94</v>
      </c>
      <c r="AA93" s="116" t="s">
        <v>387</v>
      </c>
      <c r="AB93" s="116">
        <v>6395455.463760347</v>
      </c>
      <c r="AD93" s="116">
        <v>94</v>
      </c>
      <c r="AE93" s="116" t="s">
        <v>387</v>
      </c>
      <c r="AF93" s="116">
        <v>6521173.349419298</v>
      </c>
    </row>
    <row r="94" spans="1:32" ht="12.75">
      <c r="A94" s="114">
        <v>96</v>
      </c>
      <c r="B94" s="115">
        <v>38208091.13</v>
      </c>
      <c r="C94" s="116">
        <v>733364.54</v>
      </c>
      <c r="D94" s="116">
        <v>560518.54</v>
      </c>
      <c r="E94" s="116">
        <v>3917486.41</v>
      </c>
      <c r="F94" s="116">
        <v>291358</v>
      </c>
      <c r="G94" s="117">
        <v>34172092.72</v>
      </c>
      <c r="H94" s="116">
        <v>6009626.96</v>
      </c>
      <c r="I94" s="116">
        <v>9131442.59</v>
      </c>
      <c r="J94" s="116">
        <v>0</v>
      </c>
      <c r="K94" s="116">
        <v>0</v>
      </c>
      <c r="L94" s="116">
        <v>132416.68</v>
      </c>
      <c r="M94" s="118">
        <v>8999025.91</v>
      </c>
      <c r="N94" s="117">
        <v>14635277.489999995</v>
      </c>
      <c r="O94" s="119">
        <v>312155.31</v>
      </c>
      <c r="P94" s="119">
        <v>63816023.08</v>
      </c>
      <c r="Q94" s="128">
        <v>6556.69423</v>
      </c>
      <c r="S94" s="160">
        <f t="shared" si="4"/>
        <v>5804554.772288323</v>
      </c>
      <c r="T94" s="128">
        <f t="shared" si="5"/>
        <v>5897213.066936</v>
      </c>
      <c r="Z94" s="116">
        <v>95</v>
      </c>
      <c r="AA94" s="116" t="s">
        <v>388</v>
      </c>
      <c r="AB94" s="116">
        <v>1636168.2025229167</v>
      </c>
      <c r="AD94" s="116">
        <v>95</v>
      </c>
      <c r="AE94" s="116" t="s">
        <v>388</v>
      </c>
      <c r="AF94" s="116">
        <v>1361299.629533355</v>
      </c>
    </row>
    <row r="95" spans="1:32" ht="12.75">
      <c r="A95" s="114">
        <v>97</v>
      </c>
      <c r="B95" s="115">
        <v>20428186.749999996</v>
      </c>
      <c r="C95" s="116">
        <v>0</v>
      </c>
      <c r="D95" s="116">
        <v>0</v>
      </c>
      <c r="E95" s="116">
        <v>160307</v>
      </c>
      <c r="F95" s="116">
        <v>97360</v>
      </c>
      <c r="G95" s="117">
        <v>20170519.749999996</v>
      </c>
      <c r="H95" s="116">
        <v>3914754.34</v>
      </c>
      <c r="I95" s="116">
        <v>4374786.14</v>
      </c>
      <c r="J95" s="116">
        <v>0</v>
      </c>
      <c r="K95" s="116">
        <v>0</v>
      </c>
      <c r="L95" s="116">
        <v>0</v>
      </c>
      <c r="M95" s="118">
        <v>4374786.14</v>
      </c>
      <c r="N95" s="117">
        <v>10645787.130000003</v>
      </c>
      <c r="O95" s="119">
        <v>129356.32</v>
      </c>
      <c r="P95" s="119">
        <v>39105847.36</v>
      </c>
      <c r="Q95" s="128">
        <v>4270.96749</v>
      </c>
      <c r="S95" s="160">
        <f t="shared" si="4"/>
        <v>3781167.556035632</v>
      </c>
      <c r="T95" s="128">
        <f t="shared" si="5"/>
        <v>3806833.4924071208</v>
      </c>
      <c r="Z95" s="116">
        <v>96</v>
      </c>
      <c r="AA95" s="116" t="s">
        <v>389</v>
      </c>
      <c r="AB95" s="116">
        <v>5804554.772288323</v>
      </c>
      <c r="AD95" s="116">
        <v>96</v>
      </c>
      <c r="AE95" s="116" t="s">
        <v>389</v>
      </c>
      <c r="AF95" s="116">
        <v>5897213.066936</v>
      </c>
    </row>
    <row r="96" spans="1:32" ht="12.75">
      <c r="A96" s="114">
        <v>98</v>
      </c>
      <c r="B96" s="115">
        <v>51118135.74</v>
      </c>
      <c r="C96" s="116">
        <v>0</v>
      </c>
      <c r="D96" s="116">
        <v>0</v>
      </c>
      <c r="E96" s="116">
        <v>1131018</v>
      </c>
      <c r="F96" s="116">
        <v>0</v>
      </c>
      <c r="G96" s="117">
        <v>49987117.74</v>
      </c>
      <c r="H96" s="116">
        <v>10937057.54</v>
      </c>
      <c r="I96" s="116">
        <v>13545786.93</v>
      </c>
      <c r="J96" s="116">
        <v>0</v>
      </c>
      <c r="K96" s="116">
        <v>0</v>
      </c>
      <c r="L96" s="116">
        <v>0</v>
      </c>
      <c r="M96" s="118">
        <v>13545786.93</v>
      </c>
      <c r="N96" s="117">
        <v>45030509.17</v>
      </c>
      <c r="O96" s="119">
        <v>256726.3</v>
      </c>
      <c r="P96" s="119">
        <v>119500471.38000001</v>
      </c>
      <c r="Q96" s="128">
        <v>12756.3957</v>
      </c>
      <c r="S96" s="160">
        <f t="shared" si="4"/>
        <v>10563842.033525752</v>
      </c>
      <c r="T96" s="128">
        <f t="shared" si="5"/>
        <v>11930330.840405669</v>
      </c>
      <c r="Z96" s="116">
        <v>97</v>
      </c>
      <c r="AA96" s="116" t="s">
        <v>390</v>
      </c>
      <c r="AB96" s="116">
        <v>3781167.556035632</v>
      </c>
      <c r="AD96" s="116">
        <v>97</v>
      </c>
      <c r="AE96" s="116" t="s">
        <v>390</v>
      </c>
      <c r="AF96" s="116">
        <v>3806833.4924071208</v>
      </c>
    </row>
    <row r="97" spans="1:32" ht="12.75">
      <c r="A97" s="114">
        <v>101</v>
      </c>
      <c r="B97" s="115">
        <v>17645337.3</v>
      </c>
      <c r="C97" s="116">
        <v>0</v>
      </c>
      <c r="D97" s="116">
        <v>0</v>
      </c>
      <c r="E97" s="116">
        <v>0</v>
      </c>
      <c r="F97" s="116">
        <v>0</v>
      </c>
      <c r="G97" s="117">
        <v>17645337.3</v>
      </c>
      <c r="H97" s="116">
        <v>10714593.17</v>
      </c>
      <c r="I97" s="116">
        <v>9486619.7</v>
      </c>
      <c r="J97" s="116">
        <v>0</v>
      </c>
      <c r="K97" s="116">
        <v>0</v>
      </c>
      <c r="L97" s="116">
        <v>450119.16</v>
      </c>
      <c r="M97" s="118">
        <v>9036500.54</v>
      </c>
      <c r="N97" s="117">
        <v>157926882.15</v>
      </c>
      <c r="O97" s="119">
        <v>0</v>
      </c>
      <c r="P97" s="119">
        <v>195323313.16</v>
      </c>
      <c r="Q97" s="128">
        <v>10488.87005</v>
      </c>
      <c r="S97" s="160">
        <f t="shared" si="4"/>
        <v>10348969.054808652</v>
      </c>
      <c r="T97" s="128">
        <f t="shared" si="5"/>
        <v>9835446.137483407</v>
      </c>
      <c r="Z97" s="116">
        <v>98</v>
      </c>
      <c r="AA97" s="116" t="s">
        <v>391</v>
      </c>
      <c r="AB97" s="116">
        <v>10563842.033525752</v>
      </c>
      <c r="AD97" s="116">
        <v>98</v>
      </c>
      <c r="AE97" s="116" t="s">
        <v>391</v>
      </c>
      <c r="AF97" s="116">
        <v>11930330.840405669</v>
      </c>
    </row>
    <row r="98" spans="1:32" ht="12.75">
      <c r="A98" s="114">
        <v>102</v>
      </c>
      <c r="B98" s="115">
        <v>11707301.59</v>
      </c>
      <c r="C98" s="116">
        <v>0</v>
      </c>
      <c r="D98" s="116">
        <v>0</v>
      </c>
      <c r="E98" s="116">
        <v>77372.78</v>
      </c>
      <c r="F98" s="116">
        <v>99793</v>
      </c>
      <c r="G98" s="117">
        <v>11530135.81</v>
      </c>
      <c r="H98" s="116">
        <v>2256536.94</v>
      </c>
      <c r="I98" s="116">
        <v>2596253.46</v>
      </c>
      <c r="J98" s="116">
        <v>0</v>
      </c>
      <c r="K98" s="116">
        <v>0</v>
      </c>
      <c r="L98" s="116">
        <v>0</v>
      </c>
      <c r="M98" s="118">
        <v>2596253.46</v>
      </c>
      <c r="N98" s="117">
        <v>6305894.869999999</v>
      </c>
      <c r="O98" s="119">
        <v>158483.55</v>
      </c>
      <c r="P98" s="119">
        <v>22688821.08</v>
      </c>
      <c r="Q98" s="128">
        <v>2275.05589</v>
      </c>
      <c r="S98" s="160">
        <f t="shared" si="4"/>
        <v>2174096.736047323</v>
      </c>
      <c r="T98" s="128">
        <f t="shared" si="5"/>
        <v>2174475.304538663</v>
      </c>
      <c r="Z98" s="116">
        <v>101</v>
      </c>
      <c r="AA98" s="116" t="s">
        <v>392</v>
      </c>
      <c r="AB98" s="116">
        <v>10348969.054808652</v>
      </c>
      <c r="AD98" s="116">
        <v>101</v>
      </c>
      <c r="AE98" s="116" t="s">
        <v>392</v>
      </c>
      <c r="AF98" s="116">
        <v>9835446.137483407</v>
      </c>
    </row>
    <row r="99" spans="1:32" ht="12.75">
      <c r="A99" s="114">
        <v>103</v>
      </c>
      <c r="B99" s="115">
        <v>6781124.05</v>
      </c>
      <c r="C99" s="116">
        <v>0</v>
      </c>
      <c r="D99" s="116">
        <v>0</v>
      </c>
      <c r="E99" s="116">
        <v>478093</v>
      </c>
      <c r="F99" s="116">
        <v>0</v>
      </c>
      <c r="G99" s="117">
        <v>6303031.05</v>
      </c>
      <c r="H99" s="116">
        <v>939293.81</v>
      </c>
      <c r="I99" s="116">
        <v>510982.33</v>
      </c>
      <c r="J99" s="116">
        <v>0</v>
      </c>
      <c r="K99" s="116">
        <v>0</v>
      </c>
      <c r="L99" s="116">
        <v>8158</v>
      </c>
      <c r="M99" s="118">
        <v>502824.33</v>
      </c>
      <c r="N99" s="117">
        <v>2623043.21</v>
      </c>
      <c r="O99" s="119">
        <v>0</v>
      </c>
      <c r="P99" s="119">
        <v>10368192.4</v>
      </c>
      <c r="Q99" s="128">
        <v>1152.7595999999999</v>
      </c>
      <c r="S99" s="160">
        <f t="shared" si="4"/>
        <v>907241.4656944216</v>
      </c>
      <c r="T99" s="128">
        <f t="shared" si="5"/>
        <v>795906.0161640133</v>
      </c>
      <c r="Z99" s="116">
        <v>102</v>
      </c>
      <c r="AA99" s="116" t="s">
        <v>393</v>
      </c>
      <c r="AB99" s="116">
        <v>2174096.736047323</v>
      </c>
      <c r="AD99" s="116">
        <v>102</v>
      </c>
      <c r="AE99" s="116" t="s">
        <v>393</v>
      </c>
      <c r="AF99" s="116">
        <v>2174475.304538663</v>
      </c>
    </row>
    <row r="100" spans="1:32" ht="12.75">
      <c r="A100" s="114">
        <v>104</v>
      </c>
      <c r="B100" s="115">
        <v>11898875.14</v>
      </c>
      <c r="C100" s="116">
        <v>0</v>
      </c>
      <c r="D100" s="116">
        <v>0</v>
      </c>
      <c r="E100" s="116">
        <v>350367</v>
      </c>
      <c r="F100" s="116">
        <v>0</v>
      </c>
      <c r="G100" s="117">
        <v>11548508.14</v>
      </c>
      <c r="H100" s="116">
        <v>4917388.84</v>
      </c>
      <c r="I100" s="116">
        <v>5125028.17</v>
      </c>
      <c r="J100" s="116">
        <v>0</v>
      </c>
      <c r="K100" s="116">
        <v>0</v>
      </c>
      <c r="L100" s="116">
        <v>96822</v>
      </c>
      <c r="M100" s="118">
        <v>5028206.17</v>
      </c>
      <c r="N100" s="117">
        <v>39088247.54</v>
      </c>
      <c r="O100" s="119">
        <v>0</v>
      </c>
      <c r="P100" s="119">
        <v>60582350.69</v>
      </c>
      <c r="Q100" s="128">
        <v>3904.91112</v>
      </c>
      <c r="S100" s="160">
        <f t="shared" si="4"/>
        <v>4749588.133725895</v>
      </c>
      <c r="T100" s="128">
        <f t="shared" si="5"/>
        <v>4060622.391900928</v>
      </c>
      <c r="Z100" s="116">
        <v>103</v>
      </c>
      <c r="AA100" s="116" t="s">
        <v>394</v>
      </c>
      <c r="AB100" s="116">
        <v>907241.4656944216</v>
      </c>
      <c r="AD100" s="116">
        <v>103</v>
      </c>
      <c r="AE100" s="116" t="s">
        <v>394</v>
      </c>
      <c r="AF100" s="116">
        <v>795906.0161640133</v>
      </c>
    </row>
    <row r="101" spans="1:32" ht="12.75">
      <c r="A101" s="114">
        <v>106</v>
      </c>
      <c r="B101" s="115">
        <v>10402763.469999999</v>
      </c>
      <c r="C101" s="116">
        <v>0</v>
      </c>
      <c r="D101" s="116">
        <v>0</v>
      </c>
      <c r="E101" s="116">
        <v>0</v>
      </c>
      <c r="F101" s="116">
        <v>0</v>
      </c>
      <c r="G101" s="117">
        <v>10402763.469999999</v>
      </c>
      <c r="H101" s="116">
        <v>2635207.64</v>
      </c>
      <c r="I101" s="116">
        <v>1331058.14</v>
      </c>
      <c r="J101" s="116">
        <v>0</v>
      </c>
      <c r="K101" s="116">
        <v>0</v>
      </c>
      <c r="L101" s="116">
        <v>0</v>
      </c>
      <c r="M101" s="118">
        <v>1331058.14</v>
      </c>
      <c r="N101" s="117">
        <v>18628974.080000002</v>
      </c>
      <c r="O101" s="119">
        <v>125516.54</v>
      </c>
      <c r="P101" s="119">
        <v>32998003.330000002</v>
      </c>
      <c r="Q101" s="128">
        <v>2884.6741899999997</v>
      </c>
      <c r="S101" s="160">
        <f t="shared" si="4"/>
        <v>2538933.1478273985</v>
      </c>
      <c r="T101" s="128">
        <f t="shared" si="5"/>
        <v>2566421.4747628276</v>
      </c>
      <c r="Z101" s="116">
        <v>104</v>
      </c>
      <c r="AA101" s="116" t="s">
        <v>395</v>
      </c>
      <c r="AB101" s="116">
        <v>4749588.133725895</v>
      </c>
      <c r="AD101" s="116">
        <v>104</v>
      </c>
      <c r="AE101" s="116" t="s">
        <v>395</v>
      </c>
      <c r="AF101" s="116">
        <v>4060622.391900928</v>
      </c>
    </row>
    <row r="102" spans="1:32" ht="12.75">
      <c r="A102" s="114">
        <v>107</v>
      </c>
      <c r="B102" s="115">
        <v>5028325.94</v>
      </c>
      <c r="C102" s="116">
        <v>0</v>
      </c>
      <c r="D102" s="116">
        <v>0</v>
      </c>
      <c r="E102" s="116">
        <v>41622</v>
      </c>
      <c r="F102" s="116">
        <v>0</v>
      </c>
      <c r="G102" s="117">
        <v>4986703.94</v>
      </c>
      <c r="H102" s="116">
        <v>585508.15</v>
      </c>
      <c r="I102" s="116">
        <v>864847.71</v>
      </c>
      <c r="J102" s="116">
        <v>0</v>
      </c>
      <c r="K102" s="116">
        <v>0</v>
      </c>
      <c r="L102" s="116">
        <v>2191</v>
      </c>
      <c r="M102" s="118">
        <v>862656.71</v>
      </c>
      <c r="N102" s="117">
        <v>4122781.07</v>
      </c>
      <c r="O102" s="119">
        <v>28063.01</v>
      </c>
      <c r="P102" s="119">
        <v>10557649.870000001</v>
      </c>
      <c r="Q102" s="128">
        <v>873.43886</v>
      </c>
      <c r="S102" s="160">
        <f t="shared" si="4"/>
        <v>564787.6558640437</v>
      </c>
      <c r="T102" s="128">
        <f t="shared" si="5"/>
        <v>614950.0256965348</v>
      </c>
      <c r="Z102" s="116">
        <v>106</v>
      </c>
      <c r="AA102" s="116" t="s">
        <v>396</v>
      </c>
      <c r="AB102" s="116">
        <v>2538933.1478273985</v>
      </c>
      <c r="AD102" s="116">
        <v>106</v>
      </c>
      <c r="AE102" s="116" t="s">
        <v>396</v>
      </c>
      <c r="AF102" s="116">
        <v>2566421.4747628276</v>
      </c>
    </row>
    <row r="103" spans="1:32" ht="12.75">
      <c r="A103" s="114">
        <v>108</v>
      </c>
      <c r="B103" s="115">
        <v>33879440.41000001</v>
      </c>
      <c r="C103" s="116">
        <v>94.85</v>
      </c>
      <c r="D103" s="116">
        <v>737537.65</v>
      </c>
      <c r="E103" s="116">
        <v>613982.69</v>
      </c>
      <c r="F103" s="116">
        <v>0</v>
      </c>
      <c r="G103" s="117">
        <v>32528014.920000013</v>
      </c>
      <c r="H103" s="116">
        <v>6758126.75</v>
      </c>
      <c r="I103" s="116">
        <v>8241380.61</v>
      </c>
      <c r="J103" s="116">
        <v>304609.15</v>
      </c>
      <c r="K103" s="116">
        <v>1108455.07</v>
      </c>
      <c r="L103" s="116">
        <v>232800.57</v>
      </c>
      <c r="M103" s="118">
        <v>7204734.119999999</v>
      </c>
      <c r="N103" s="117">
        <v>19060167.179999985</v>
      </c>
      <c r="O103" s="119">
        <v>14119.19</v>
      </c>
      <c r="P103" s="119">
        <v>65551042.97</v>
      </c>
      <c r="Q103" s="128">
        <v>6480.89998</v>
      </c>
      <c r="S103" s="160">
        <f t="shared" si="4"/>
        <v>6527512.815263565</v>
      </c>
      <c r="T103" s="128">
        <f t="shared" si="5"/>
        <v>6380012.659760021</v>
      </c>
      <c r="Z103" s="116">
        <v>107</v>
      </c>
      <c r="AA103" s="116" t="s">
        <v>397</v>
      </c>
      <c r="AB103" s="116">
        <v>564787.6558640437</v>
      </c>
      <c r="AD103" s="116">
        <v>107</v>
      </c>
      <c r="AE103" s="116" t="s">
        <v>397</v>
      </c>
      <c r="AF103" s="116">
        <v>614950.0256965348</v>
      </c>
    </row>
    <row r="104" spans="1:32" ht="12.75">
      <c r="A104" s="114">
        <v>109</v>
      </c>
      <c r="B104" s="115">
        <v>3007894.85</v>
      </c>
      <c r="C104" s="116">
        <v>0</v>
      </c>
      <c r="D104" s="116">
        <v>0</v>
      </c>
      <c r="E104" s="116">
        <v>107721</v>
      </c>
      <c r="F104" s="116">
        <v>0</v>
      </c>
      <c r="G104" s="117">
        <v>2900173.85</v>
      </c>
      <c r="H104" s="116">
        <v>1784940.88</v>
      </c>
      <c r="I104" s="116">
        <v>552447.83</v>
      </c>
      <c r="J104" s="116">
        <v>0</v>
      </c>
      <c r="K104" s="116">
        <v>0</v>
      </c>
      <c r="L104" s="116">
        <v>0</v>
      </c>
      <c r="M104" s="118">
        <v>552447.83</v>
      </c>
      <c r="N104" s="117">
        <v>30741817.25</v>
      </c>
      <c r="O104" s="119">
        <v>0</v>
      </c>
      <c r="P104" s="119">
        <v>35979379.81</v>
      </c>
      <c r="Q104" s="128">
        <v>1919.18337</v>
      </c>
      <c r="S104" s="160">
        <f t="shared" si="4"/>
        <v>1719729.9164684555</v>
      </c>
      <c r="T104" s="128">
        <f t="shared" si="5"/>
        <v>2043075.7263983774</v>
      </c>
      <c r="Z104" s="116">
        <v>108</v>
      </c>
      <c r="AA104" s="116" t="s">
        <v>398</v>
      </c>
      <c r="AB104" s="116">
        <v>6527512.815263565</v>
      </c>
      <c r="AD104" s="116">
        <v>108</v>
      </c>
      <c r="AE104" s="116" t="s">
        <v>398</v>
      </c>
      <c r="AF104" s="116">
        <v>6380012.659760021</v>
      </c>
    </row>
    <row r="105" spans="1:32" ht="12.75">
      <c r="A105" s="114">
        <v>110</v>
      </c>
      <c r="B105" s="115">
        <v>5059946.73</v>
      </c>
      <c r="C105" s="116">
        <v>0</v>
      </c>
      <c r="D105" s="116">
        <v>0</v>
      </c>
      <c r="E105" s="116">
        <v>283793.1</v>
      </c>
      <c r="F105" s="116">
        <v>0</v>
      </c>
      <c r="G105" s="117">
        <v>4776153.63</v>
      </c>
      <c r="H105" s="116">
        <v>2405991.88</v>
      </c>
      <c r="I105" s="116">
        <v>2208264.7</v>
      </c>
      <c r="J105" s="116">
        <v>0</v>
      </c>
      <c r="K105" s="116">
        <v>0</v>
      </c>
      <c r="L105" s="116">
        <v>44598.27</v>
      </c>
      <c r="M105" s="118">
        <v>2163666.43</v>
      </c>
      <c r="N105" s="117">
        <v>24416417.240000002</v>
      </c>
      <c r="O105" s="119">
        <v>0</v>
      </c>
      <c r="P105" s="119">
        <v>33762229.18</v>
      </c>
      <c r="Q105" s="128">
        <v>2572.87402</v>
      </c>
      <c r="S105" s="160">
        <f t="shared" si="4"/>
        <v>2318091.4752570456</v>
      </c>
      <c r="T105" s="128">
        <f t="shared" si="5"/>
        <v>2561916.3463694467</v>
      </c>
      <c r="Z105" s="116">
        <v>109</v>
      </c>
      <c r="AA105" s="116" t="s">
        <v>399</v>
      </c>
      <c r="AB105" s="116">
        <v>1719729.9164684555</v>
      </c>
      <c r="AD105" s="116">
        <v>109</v>
      </c>
      <c r="AE105" s="116" t="s">
        <v>399</v>
      </c>
      <c r="AF105" s="116">
        <v>2043075.7263983774</v>
      </c>
    </row>
    <row r="106" spans="1:32" ht="12.75">
      <c r="A106" s="114">
        <v>111</v>
      </c>
      <c r="B106" s="115">
        <v>6541003.82</v>
      </c>
      <c r="C106" s="116">
        <v>251270</v>
      </c>
      <c r="D106" s="116">
        <v>241815</v>
      </c>
      <c r="E106" s="116">
        <v>446789.25</v>
      </c>
      <c r="F106" s="116">
        <v>3553.71</v>
      </c>
      <c r="G106" s="117">
        <v>6100115.86</v>
      </c>
      <c r="H106" s="116">
        <v>1004951.74</v>
      </c>
      <c r="I106" s="116">
        <v>1291187.38</v>
      </c>
      <c r="J106" s="116">
        <v>0</v>
      </c>
      <c r="K106" s="116">
        <v>0</v>
      </c>
      <c r="L106" s="116">
        <v>0</v>
      </c>
      <c r="M106" s="118">
        <v>1291187.38</v>
      </c>
      <c r="N106" s="117">
        <v>3334826.53</v>
      </c>
      <c r="O106" s="119">
        <v>85776.56</v>
      </c>
      <c r="P106" s="119">
        <v>11731081.51</v>
      </c>
      <c r="Q106" s="128">
        <v>1317.5226499999999</v>
      </c>
      <c r="S106" s="160">
        <f t="shared" si="4"/>
        <v>970658.8378852323</v>
      </c>
      <c r="T106" s="128">
        <f t="shared" si="5"/>
        <v>983619.6992215636</v>
      </c>
      <c r="Z106" s="116">
        <v>110</v>
      </c>
      <c r="AA106" s="116" t="s">
        <v>400</v>
      </c>
      <c r="AB106" s="116">
        <v>2318091.4752570456</v>
      </c>
      <c r="AD106" s="116">
        <v>110</v>
      </c>
      <c r="AE106" s="116" t="s">
        <v>400</v>
      </c>
      <c r="AF106" s="116">
        <v>2561916.3463694467</v>
      </c>
    </row>
    <row r="107" spans="1:32" ht="12.75">
      <c r="A107" s="114">
        <v>112</v>
      </c>
      <c r="B107" s="115">
        <v>113016808.09000002</v>
      </c>
      <c r="C107" s="116">
        <v>0</v>
      </c>
      <c r="D107" s="116">
        <v>0</v>
      </c>
      <c r="E107" s="116">
        <v>1657776.43</v>
      </c>
      <c r="F107" s="116">
        <v>537304.46</v>
      </c>
      <c r="G107" s="117">
        <v>110821727.20000002</v>
      </c>
      <c r="H107" s="116">
        <v>22824223.16</v>
      </c>
      <c r="I107" s="116">
        <v>21312335.830000006</v>
      </c>
      <c r="J107" s="116">
        <v>0</v>
      </c>
      <c r="K107" s="116">
        <v>0</v>
      </c>
      <c r="L107" s="116">
        <v>1175405.25</v>
      </c>
      <c r="M107" s="118">
        <v>20136930.580000006</v>
      </c>
      <c r="N107" s="117">
        <v>68466649.09999996</v>
      </c>
      <c r="O107" s="119">
        <v>0</v>
      </c>
      <c r="P107" s="119">
        <v>222249530.04</v>
      </c>
      <c r="Q107" s="128">
        <v>21394.53154</v>
      </c>
      <c r="S107" s="160">
        <f aca="true" t="shared" si="6" ref="S107:S137">VLOOKUP(A107,$Z$3:$AB$138,3,FALSE)</f>
        <v>22045370.74698912</v>
      </c>
      <c r="T107" s="128">
        <f t="shared" si="5"/>
        <v>19850346.55596983</v>
      </c>
      <c r="Z107" s="116">
        <v>111</v>
      </c>
      <c r="AA107" s="116" t="s">
        <v>401</v>
      </c>
      <c r="AB107" s="116">
        <v>970658.8378852323</v>
      </c>
      <c r="AD107" s="116">
        <v>111</v>
      </c>
      <c r="AE107" s="116" t="s">
        <v>401</v>
      </c>
      <c r="AF107" s="116">
        <v>983619.6992215636</v>
      </c>
    </row>
    <row r="108" spans="1:32" ht="12.75">
      <c r="A108" s="114">
        <v>113</v>
      </c>
      <c r="B108" s="115">
        <v>18692927.590000004</v>
      </c>
      <c r="C108" s="116">
        <v>0</v>
      </c>
      <c r="D108" s="116">
        <v>0</v>
      </c>
      <c r="E108" s="116">
        <v>661242.39</v>
      </c>
      <c r="F108" s="116">
        <v>0</v>
      </c>
      <c r="G108" s="117">
        <v>18031685.200000003</v>
      </c>
      <c r="H108" s="116">
        <v>3625087.28</v>
      </c>
      <c r="I108" s="116">
        <v>4572163.28</v>
      </c>
      <c r="J108" s="116">
        <v>0</v>
      </c>
      <c r="K108" s="116">
        <v>0</v>
      </c>
      <c r="L108" s="116">
        <v>184155.21</v>
      </c>
      <c r="M108" s="118">
        <v>4388008.07</v>
      </c>
      <c r="N108" s="117">
        <v>24829500.72</v>
      </c>
      <c r="O108" s="119">
        <v>32810.72</v>
      </c>
      <c r="P108" s="119">
        <v>50874281.27</v>
      </c>
      <c r="Q108" s="128">
        <v>4361.600049999999</v>
      </c>
      <c r="S108" s="160">
        <f t="shared" si="6"/>
        <v>3501385.0316644083</v>
      </c>
      <c r="T108" s="128">
        <f t="shared" si="5"/>
        <v>4210793.338346968</v>
      </c>
      <c r="Z108" s="116">
        <v>112</v>
      </c>
      <c r="AA108" s="116" t="s">
        <v>402</v>
      </c>
      <c r="AB108" s="116">
        <v>22045370.74698912</v>
      </c>
      <c r="AD108" s="116">
        <v>112</v>
      </c>
      <c r="AE108" s="116" t="s">
        <v>402</v>
      </c>
      <c r="AF108" s="116">
        <v>19850346.55596983</v>
      </c>
    </row>
    <row r="109" spans="1:32" ht="12.75">
      <c r="A109" s="114">
        <v>114</v>
      </c>
      <c r="B109" s="115">
        <v>21451920.599999998</v>
      </c>
      <c r="C109" s="116">
        <v>122941.29</v>
      </c>
      <c r="D109" s="116">
        <v>0</v>
      </c>
      <c r="E109" s="116">
        <v>481088.5</v>
      </c>
      <c r="F109" s="116">
        <v>0</v>
      </c>
      <c r="G109" s="117">
        <v>21093773.389999997</v>
      </c>
      <c r="H109" s="116">
        <v>3322855.18</v>
      </c>
      <c r="I109" s="116">
        <v>3982669.19</v>
      </c>
      <c r="J109" s="116">
        <v>0</v>
      </c>
      <c r="K109" s="116">
        <v>0</v>
      </c>
      <c r="L109" s="116">
        <v>19748.1</v>
      </c>
      <c r="M109" s="118">
        <v>3962921.09</v>
      </c>
      <c r="N109" s="117">
        <v>10880242.75</v>
      </c>
      <c r="O109" s="119">
        <v>245202</v>
      </c>
      <c r="P109" s="119">
        <v>39259792.41</v>
      </c>
      <c r="Q109" s="128">
        <v>3878.03334</v>
      </c>
      <c r="S109" s="160">
        <f t="shared" si="6"/>
        <v>3201458.1655384563</v>
      </c>
      <c r="T109" s="128">
        <f t="shared" si="5"/>
        <v>2988401.834276201</v>
      </c>
      <c r="Z109" s="116">
        <v>113</v>
      </c>
      <c r="AA109" s="116" t="s">
        <v>403</v>
      </c>
      <c r="AB109" s="116">
        <v>3501385.0316644083</v>
      </c>
      <c r="AD109" s="116">
        <v>113</v>
      </c>
      <c r="AE109" s="116" t="s">
        <v>403</v>
      </c>
      <c r="AF109" s="116">
        <v>4210793.338346968</v>
      </c>
    </row>
    <row r="110" spans="1:32" ht="12.75">
      <c r="A110" s="114">
        <v>115</v>
      </c>
      <c r="B110" s="115">
        <v>37392341.92999999</v>
      </c>
      <c r="C110" s="116">
        <v>0</v>
      </c>
      <c r="D110" s="116">
        <v>0</v>
      </c>
      <c r="E110" s="116">
        <v>0</v>
      </c>
      <c r="F110" s="116">
        <v>0</v>
      </c>
      <c r="G110" s="117">
        <v>37392341.92999999</v>
      </c>
      <c r="H110" s="116">
        <v>8883897.03</v>
      </c>
      <c r="I110" s="116">
        <v>9158524.559999999</v>
      </c>
      <c r="J110" s="116">
        <v>0</v>
      </c>
      <c r="K110" s="116">
        <v>0</v>
      </c>
      <c r="L110" s="116">
        <v>0</v>
      </c>
      <c r="M110" s="118">
        <v>9158524.559999999</v>
      </c>
      <c r="N110" s="117">
        <v>35382638.89</v>
      </c>
      <c r="O110" s="119">
        <v>693147.2</v>
      </c>
      <c r="P110" s="119">
        <v>90817402.41</v>
      </c>
      <c r="Q110" s="128">
        <v>8330.29358</v>
      </c>
      <c r="S110" s="160">
        <f t="shared" si="6"/>
        <v>8580743.50078252</v>
      </c>
      <c r="T110" s="128">
        <f t="shared" si="5"/>
        <v>8736194.809498392</v>
      </c>
      <c r="Z110" s="116">
        <v>114</v>
      </c>
      <c r="AA110" s="116" t="s">
        <v>404</v>
      </c>
      <c r="AB110" s="116">
        <v>3201458.1655384563</v>
      </c>
      <c r="AD110" s="116">
        <v>114</v>
      </c>
      <c r="AE110" s="116" t="s">
        <v>404</v>
      </c>
      <c r="AF110" s="116">
        <v>2988401.834276201</v>
      </c>
    </row>
    <row r="111" spans="1:32" ht="12.75">
      <c r="A111" s="114">
        <v>116</v>
      </c>
      <c r="B111" s="115">
        <v>13006854.57</v>
      </c>
      <c r="C111" s="116">
        <v>0</v>
      </c>
      <c r="D111" s="116">
        <v>0</v>
      </c>
      <c r="E111" s="116">
        <v>520429.3</v>
      </c>
      <c r="F111" s="116">
        <v>0</v>
      </c>
      <c r="G111" s="117">
        <v>12486425.27</v>
      </c>
      <c r="H111" s="116">
        <v>2595417.32</v>
      </c>
      <c r="I111" s="116">
        <v>2893675.08</v>
      </c>
      <c r="J111" s="116">
        <v>0</v>
      </c>
      <c r="K111" s="116">
        <v>0</v>
      </c>
      <c r="L111" s="116">
        <v>4625</v>
      </c>
      <c r="M111" s="118">
        <v>2889050.08</v>
      </c>
      <c r="N111" s="117">
        <v>7041420.6499999985</v>
      </c>
      <c r="O111" s="119">
        <v>0</v>
      </c>
      <c r="P111" s="119">
        <v>25012313.32</v>
      </c>
      <c r="Q111" s="128">
        <v>2416.22934</v>
      </c>
      <c r="S111" s="160">
        <f t="shared" si="6"/>
        <v>2506851.418366165</v>
      </c>
      <c r="T111" s="128">
        <f t="shared" si="5"/>
        <v>2621233.870215633</v>
      </c>
      <c r="Z111" s="116">
        <v>115</v>
      </c>
      <c r="AA111" s="116" t="s">
        <v>405</v>
      </c>
      <c r="AB111" s="116">
        <v>8580743.50078252</v>
      </c>
      <c r="AD111" s="116">
        <v>115</v>
      </c>
      <c r="AE111" s="116" t="s">
        <v>405</v>
      </c>
      <c r="AF111" s="116">
        <v>8736194.809498392</v>
      </c>
    </row>
    <row r="112" spans="1:32" ht="12.75">
      <c r="A112" s="114">
        <v>117</v>
      </c>
      <c r="B112" s="115">
        <v>153041129.49</v>
      </c>
      <c r="C112" s="116">
        <v>2610071.27</v>
      </c>
      <c r="D112" s="116">
        <v>3854704</v>
      </c>
      <c r="E112" s="116">
        <v>2183273</v>
      </c>
      <c r="F112" s="116">
        <v>0</v>
      </c>
      <c r="G112" s="117">
        <v>149613223.76000002</v>
      </c>
      <c r="H112" s="116">
        <v>32473533.14</v>
      </c>
      <c r="I112" s="116">
        <v>38796245.08</v>
      </c>
      <c r="J112" s="116">
        <v>0</v>
      </c>
      <c r="K112" s="116">
        <v>0</v>
      </c>
      <c r="L112" s="116">
        <v>537719</v>
      </c>
      <c r="M112" s="118">
        <v>38258526.08</v>
      </c>
      <c r="N112" s="117">
        <v>92421751.01999998</v>
      </c>
      <c r="O112" s="119">
        <v>818874</v>
      </c>
      <c r="P112" s="119">
        <v>312767034</v>
      </c>
      <c r="Q112" s="128">
        <v>29604.23188</v>
      </c>
      <c r="S112" s="160">
        <f t="shared" si="6"/>
        <v>31287147.092019383</v>
      </c>
      <c r="T112" s="128">
        <f t="shared" si="5"/>
        <v>29982380.312684167</v>
      </c>
      <c r="Z112" s="116">
        <v>116</v>
      </c>
      <c r="AA112" s="116" t="s">
        <v>406</v>
      </c>
      <c r="AB112" s="116">
        <v>2506851.418366165</v>
      </c>
      <c r="AD112" s="116">
        <v>116</v>
      </c>
      <c r="AE112" s="116" t="s">
        <v>406</v>
      </c>
      <c r="AF112" s="116">
        <v>2621233.870215633</v>
      </c>
    </row>
    <row r="113" spans="1:32" ht="12.75">
      <c r="A113" s="114">
        <v>118</v>
      </c>
      <c r="B113" s="115">
        <v>166082412.52</v>
      </c>
      <c r="C113" s="116">
        <v>0</v>
      </c>
      <c r="D113" s="116">
        <v>0</v>
      </c>
      <c r="E113" s="116">
        <v>638276</v>
      </c>
      <c r="F113" s="116">
        <v>0</v>
      </c>
      <c r="G113" s="117">
        <v>165444136.52</v>
      </c>
      <c r="H113" s="116">
        <v>35032074.83</v>
      </c>
      <c r="I113" s="116">
        <v>44887456.19</v>
      </c>
      <c r="J113" s="116">
        <v>0</v>
      </c>
      <c r="K113" s="116">
        <v>0</v>
      </c>
      <c r="L113" s="116">
        <v>0</v>
      </c>
      <c r="M113" s="118">
        <v>44887456.19</v>
      </c>
      <c r="N113" s="117">
        <v>102415691.00999999</v>
      </c>
      <c r="O113" s="119">
        <v>25500</v>
      </c>
      <c r="P113" s="119">
        <v>347779358.55</v>
      </c>
      <c r="Q113" s="128">
        <v>32312.28746</v>
      </c>
      <c r="S113" s="160">
        <f t="shared" si="6"/>
        <v>31112562.79681174</v>
      </c>
      <c r="T113" s="128">
        <f t="shared" si="5"/>
        <v>29160945.23562433</v>
      </c>
      <c r="Z113" s="116">
        <v>117</v>
      </c>
      <c r="AA113" s="116" t="s">
        <v>407</v>
      </c>
      <c r="AB113" s="116">
        <v>31287147.092019383</v>
      </c>
      <c r="AD113" s="116">
        <v>117</v>
      </c>
      <c r="AE113" s="116" t="s">
        <v>407</v>
      </c>
      <c r="AF113" s="116">
        <v>29982380.312684167</v>
      </c>
    </row>
    <row r="114" spans="1:32" ht="12.75">
      <c r="A114" s="114">
        <v>119</v>
      </c>
      <c r="B114" s="115">
        <v>3943750.05</v>
      </c>
      <c r="C114" s="116">
        <v>0</v>
      </c>
      <c r="D114" s="116">
        <v>0</v>
      </c>
      <c r="E114" s="116">
        <v>0</v>
      </c>
      <c r="F114" s="116">
        <v>0</v>
      </c>
      <c r="G114" s="117">
        <v>3943750.05</v>
      </c>
      <c r="H114" s="116">
        <v>651171.72</v>
      </c>
      <c r="I114" s="116">
        <v>778827.94</v>
      </c>
      <c r="J114" s="116">
        <v>14032.04</v>
      </c>
      <c r="K114" s="116">
        <v>0</v>
      </c>
      <c r="L114" s="116">
        <v>0</v>
      </c>
      <c r="M114" s="118">
        <v>792859.98</v>
      </c>
      <c r="N114" s="117">
        <v>1757577.53</v>
      </c>
      <c r="O114" s="119">
        <v>0</v>
      </c>
      <c r="P114" s="119">
        <v>7145359.28</v>
      </c>
      <c r="Q114" s="128">
        <v>776.98887</v>
      </c>
      <c r="S114" s="160">
        <f t="shared" si="6"/>
        <v>628951.114786511</v>
      </c>
      <c r="T114" s="128">
        <f t="shared" si="5"/>
        <v>722322.2524054536</v>
      </c>
      <c r="Z114" s="116">
        <v>118</v>
      </c>
      <c r="AA114" s="116" t="s">
        <v>408</v>
      </c>
      <c r="AB114" s="116">
        <v>31112562.79681174</v>
      </c>
      <c r="AD114" s="116">
        <v>118</v>
      </c>
      <c r="AE114" s="116" t="s">
        <v>408</v>
      </c>
      <c r="AF114" s="116">
        <v>29160945.23562433</v>
      </c>
    </row>
    <row r="115" spans="1:32" ht="12.75">
      <c r="A115" s="114">
        <v>120</v>
      </c>
      <c r="B115" s="115">
        <v>29235773.18</v>
      </c>
      <c r="C115" s="116">
        <v>0</v>
      </c>
      <c r="D115" s="116">
        <v>0</v>
      </c>
      <c r="E115" s="116">
        <v>661797.54</v>
      </c>
      <c r="F115" s="116">
        <v>117887</v>
      </c>
      <c r="G115" s="117">
        <v>28456088.64</v>
      </c>
      <c r="H115" s="116">
        <v>4144470.04</v>
      </c>
      <c r="I115" s="116">
        <v>6448600.010000002</v>
      </c>
      <c r="J115" s="116">
        <v>0</v>
      </c>
      <c r="K115" s="116">
        <v>0</v>
      </c>
      <c r="L115" s="116">
        <v>173302.81</v>
      </c>
      <c r="M115" s="118">
        <v>6275297.200000002</v>
      </c>
      <c r="N115" s="117">
        <v>9135570.649999999</v>
      </c>
      <c r="O115" s="119">
        <v>84783.54</v>
      </c>
      <c r="P115" s="119">
        <v>48011426.53</v>
      </c>
      <c r="Q115" s="128">
        <v>4600.0156099999995</v>
      </c>
      <c r="S115" s="160">
        <f t="shared" si="6"/>
        <v>3993056.1878261054</v>
      </c>
      <c r="T115" s="128">
        <f t="shared" si="5"/>
        <v>3863898.4520566156</v>
      </c>
      <c r="Z115" s="116">
        <v>119</v>
      </c>
      <c r="AA115" s="116" t="s">
        <v>409</v>
      </c>
      <c r="AB115" s="116">
        <v>628951.114786511</v>
      </c>
      <c r="AD115" s="116">
        <v>119</v>
      </c>
      <c r="AE115" s="116" t="s">
        <v>409</v>
      </c>
      <c r="AF115" s="116">
        <v>722322.2524054536</v>
      </c>
    </row>
    <row r="116" spans="1:32" ht="12.75">
      <c r="A116" s="114">
        <v>121</v>
      </c>
      <c r="B116" s="115">
        <v>83517585.1</v>
      </c>
      <c r="C116" s="116">
        <v>0</v>
      </c>
      <c r="D116" s="116">
        <v>0</v>
      </c>
      <c r="E116" s="116">
        <v>0</v>
      </c>
      <c r="F116" s="116">
        <v>0</v>
      </c>
      <c r="G116" s="117">
        <v>83517585.1</v>
      </c>
      <c r="H116" s="116">
        <v>12333639.22</v>
      </c>
      <c r="I116" s="116">
        <v>17442485.92</v>
      </c>
      <c r="J116" s="116">
        <v>0</v>
      </c>
      <c r="K116" s="116">
        <v>0</v>
      </c>
      <c r="L116" s="116">
        <v>470808.89</v>
      </c>
      <c r="M116" s="118">
        <v>16971677.03</v>
      </c>
      <c r="N116" s="117">
        <v>38290883.46000001</v>
      </c>
      <c r="O116" s="119">
        <v>132217.72</v>
      </c>
      <c r="P116" s="119">
        <v>151113784.81</v>
      </c>
      <c r="Q116" s="128">
        <v>14334.53857</v>
      </c>
      <c r="S116" s="160">
        <f t="shared" si="6"/>
        <v>11912766.844360879</v>
      </c>
      <c r="T116" s="128">
        <f t="shared" si="5"/>
        <v>13459821.929958588</v>
      </c>
      <c r="Z116" s="116">
        <v>120</v>
      </c>
      <c r="AA116" s="116" t="s">
        <v>410</v>
      </c>
      <c r="AB116" s="116">
        <v>3993056.1878261054</v>
      </c>
      <c r="AD116" s="116">
        <v>120</v>
      </c>
      <c r="AE116" s="116" t="s">
        <v>410</v>
      </c>
      <c r="AF116" s="116">
        <v>3863898.4520566156</v>
      </c>
    </row>
    <row r="117" spans="1:32" ht="12.75">
      <c r="A117" s="114">
        <v>122</v>
      </c>
      <c r="B117" s="115">
        <v>7386851.100000001</v>
      </c>
      <c r="C117" s="116">
        <v>0</v>
      </c>
      <c r="D117" s="116">
        <v>0</v>
      </c>
      <c r="E117" s="116">
        <v>116050.95</v>
      </c>
      <c r="F117" s="116">
        <v>0</v>
      </c>
      <c r="G117" s="117">
        <v>7270800.15</v>
      </c>
      <c r="H117" s="116">
        <v>1183386.66</v>
      </c>
      <c r="I117" s="116">
        <v>960498.58</v>
      </c>
      <c r="J117" s="116">
        <v>0</v>
      </c>
      <c r="K117" s="116">
        <v>0</v>
      </c>
      <c r="L117" s="116">
        <v>22605.61</v>
      </c>
      <c r="M117" s="118">
        <v>937892.97</v>
      </c>
      <c r="N117" s="117">
        <v>5415882.9399999995</v>
      </c>
      <c r="O117" s="119">
        <v>0</v>
      </c>
      <c r="P117" s="119">
        <v>14807962.72</v>
      </c>
      <c r="Q117" s="128">
        <v>1519.11178</v>
      </c>
      <c r="S117" s="160">
        <f t="shared" si="6"/>
        <v>1143004.8728979062</v>
      </c>
      <c r="T117" s="128">
        <f t="shared" si="5"/>
        <v>1156316.28763451</v>
      </c>
      <c r="Z117" s="116">
        <v>121</v>
      </c>
      <c r="AA117" s="116" t="s">
        <v>411</v>
      </c>
      <c r="AB117" s="116">
        <v>11912766.844360879</v>
      </c>
      <c r="AD117" s="116">
        <v>121</v>
      </c>
      <c r="AE117" s="116" t="s">
        <v>411</v>
      </c>
      <c r="AF117" s="116">
        <v>13459821.929958588</v>
      </c>
    </row>
    <row r="118" spans="1:32" ht="12.75">
      <c r="A118" s="114">
        <v>123</v>
      </c>
      <c r="B118" s="115">
        <v>99969982.52999999</v>
      </c>
      <c r="C118" s="116">
        <v>0</v>
      </c>
      <c r="D118" s="116">
        <v>0</v>
      </c>
      <c r="E118" s="116">
        <v>422138.56</v>
      </c>
      <c r="F118" s="116">
        <v>1735096</v>
      </c>
      <c r="G118" s="117">
        <v>97812747.96999998</v>
      </c>
      <c r="H118" s="116">
        <v>26801711.49</v>
      </c>
      <c r="I118" s="116">
        <v>35753234.74</v>
      </c>
      <c r="J118" s="116">
        <v>0</v>
      </c>
      <c r="K118" s="116">
        <v>0</v>
      </c>
      <c r="L118" s="116">
        <v>24204.16</v>
      </c>
      <c r="M118" s="118">
        <v>35729030.580000006</v>
      </c>
      <c r="N118" s="117">
        <v>131756180.29999998</v>
      </c>
      <c r="O118" s="119">
        <v>281488</v>
      </c>
      <c r="P118" s="119">
        <v>292099670.34</v>
      </c>
      <c r="Q118" s="128">
        <v>22317.83544</v>
      </c>
      <c r="S118" s="160">
        <f t="shared" si="6"/>
        <v>25851905.25190108</v>
      </c>
      <c r="T118" s="128">
        <f t="shared" si="5"/>
        <v>26138004.08366554</v>
      </c>
      <c r="Z118" s="116">
        <v>122</v>
      </c>
      <c r="AA118" s="116" t="s">
        <v>412</v>
      </c>
      <c r="AB118" s="116">
        <v>1143004.8728979062</v>
      </c>
      <c r="AD118" s="116">
        <v>122</v>
      </c>
      <c r="AE118" s="116" t="s">
        <v>412</v>
      </c>
      <c r="AF118" s="116">
        <v>1156316.28763451</v>
      </c>
    </row>
    <row r="119" spans="1:32" ht="12.75">
      <c r="A119" s="114">
        <v>124</v>
      </c>
      <c r="B119" s="115">
        <v>61832590.27</v>
      </c>
      <c r="C119" s="116">
        <v>0</v>
      </c>
      <c r="D119" s="116">
        <v>0</v>
      </c>
      <c r="E119" s="116">
        <v>686071.7</v>
      </c>
      <c r="F119" s="116">
        <v>2125314.89</v>
      </c>
      <c r="G119" s="117">
        <v>59021203.68</v>
      </c>
      <c r="H119" s="116">
        <v>12179922.56</v>
      </c>
      <c r="I119" s="116">
        <v>20640524.290000003</v>
      </c>
      <c r="J119" s="116">
        <v>0</v>
      </c>
      <c r="K119" s="116">
        <v>0</v>
      </c>
      <c r="L119" s="116">
        <v>1274133.16</v>
      </c>
      <c r="M119" s="118">
        <v>19366391.130000003</v>
      </c>
      <c r="N119" s="117">
        <v>47611434.589999974</v>
      </c>
      <c r="O119" s="119">
        <v>1482075.96</v>
      </c>
      <c r="P119" s="119">
        <v>138178951.95999998</v>
      </c>
      <c r="Q119" s="128">
        <v>12285.72076</v>
      </c>
      <c r="S119" s="160">
        <f t="shared" si="6"/>
        <v>11764295.584761217</v>
      </c>
      <c r="T119" s="128">
        <f t="shared" si="5"/>
        <v>11790671.86021085</v>
      </c>
      <c r="Z119" s="116">
        <v>123</v>
      </c>
      <c r="AA119" s="116" t="s">
        <v>413</v>
      </c>
      <c r="AB119" s="116">
        <v>25851905.25190108</v>
      </c>
      <c r="AD119" s="116">
        <v>123</v>
      </c>
      <c r="AE119" s="116" t="s">
        <v>413</v>
      </c>
      <c r="AF119" s="116">
        <v>26138004.08366554</v>
      </c>
    </row>
    <row r="120" spans="1:32" ht="12.75">
      <c r="A120" s="114">
        <v>126</v>
      </c>
      <c r="B120" s="115">
        <v>11325742.209999999</v>
      </c>
      <c r="C120" s="116">
        <v>0</v>
      </c>
      <c r="D120" s="116">
        <v>0</v>
      </c>
      <c r="E120" s="116">
        <v>247813.05</v>
      </c>
      <c r="F120" s="116">
        <v>329389</v>
      </c>
      <c r="G120" s="117">
        <v>10748540.159999998</v>
      </c>
      <c r="H120" s="116">
        <v>3584920.1</v>
      </c>
      <c r="I120" s="116">
        <v>2254540.83</v>
      </c>
      <c r="J120" s="116">
        <v>0</v>
      </c>
      <c r="K120" s="116">
        <v>0</v>
      </c>
      <c r="L120" s="116">
        <v>68513.65</v>
      </c>
      <c r="M120" s="118">
        <v>2186027.18</v>
      </c>
      <c r="N120" s="117">
        <v>11222882.61</v>
      </c>
      <c r="O120" s="119">
        <v>707999.53</v>
      </c>
      <c r="P120" s="119">
        <v>27742370.049999997</v>
      </c>
      <c r="Q120" s="128">
        <v>2641.51946</v>
      </c>
      <c r="S120" s="160">
        <f t="shared" si="6"/>
        <v>3462588.521618265</v>
      </c>
      <c r="T120" s="128">
        <f t="shared" si="5"/>
        <v>2585192.843068583</v>
      </c>
      <c r="Z120" s="116">
        <v>124</v>
      </c>
      <c r="AA120" s="116" t="s">
        <v>414</v>
      </c>
      <c r="AB120" s="116">
        <v>11764295.584761217</v>
      </c>
      <c r="AD120" s="116">
        <v>124</v>
      </c>
      <c r="AE120" s="116" t="s">
        <v>414</v>
      </c>
      <c r="AF120" s="116">
        <v>11790671.86021085</v>
      </c>
    </row>
    <row r="121" spans="1:32" ht="12.75">
      <c r="A121" s="114">
        <v>127</v>
      </c>
      <c r="B121" s="115">
        <v>63903976.699999996</v>
      </c>
      <c r="C121" s="116">
        <v>0</v>
      </c>
      <c r="D121" s="116">
        <v>0</v>
      </c>
      <c r="E121" s="116">
        <v>2213155.06</v>
      </c>
      <c r="F121" s="116">
        <v>0</v>
      </c>
      <c r="G121" s="117">
        <v>61690821.63999999</v>
      </c>
      <c r="H121" s="116">
        <v>14259346.12</v>
      </c>
      <c r="I121" s="116">
        <v>11079337.5</v>
      </c>
      <c r="J121" s="116">
        <v>352861.82</v>
      </c>
      <c r="K121" s="116">
        <v>279809.18</v>
      </c>
      <c r="L121" s="116">
        <v>23431.65</v>
      </c>
      <c r="M121" s="118">
        <v>11128958.49</v>
      </c>
      <c r="N121" s="117">
        <v>46195166.58000001</v>
      </c>
      <c r="O121" s="119">
        <v>38745</v>
      </c>
      <c r="P121" s="119">
        <v>133274292.83</v>
      </c>
      <c r="Q121" s="128">
        <v>13557.743509999998</v>
      </c>
      <c r="S121" s="160">
        <f t="shared" si="6"/>
        <v>13772761.066380776</v>
      </c>
      <c r="T121" s="128">
        <f t="shared" si="5"/>
        <v>14092041.614496417</v>
      </c>
      <c r="Z121" s="116">
        <v>126</v>
      </c>
      <c r="AA121" s="116" t="s">
        <v>415</v>
      </c>
      <c r="AB121" s="116">
        <v>3462588.521618265</v>
      </c>
      <c r="AD121" s="116">
        <v>126</v>
      </c>
      <c r="AE121" s="116" t="s">
        <v>415</v>
      </c>
      <c r="AF121" s="116">
        <v>2585192.843068583</v>
      </c>
    </row>
    <row r="122" spans="1:32" ht="12.75">
      <c r="A122" s="114">
        <v>128</v>
      </c>
      <c r="B122" s="115">
        <v>300689639.27000004</v>
      </c>
      <c r="C122" s="116">
        <v>11562827.450000001</v>
      </c>
      <c r="D122" s="116">
        <v>12992371.53</v>
      </c>
      <c r="E122" s="116">
        <v>13029740.82</v>
      </c>
      <c r="F122" s="116">
        <v>0</v>
      </c>
      <c r="G122" s="117">
        <v>286230354.37000006</v>
      </c>
      <c r="H122" s="116">
        <v>72904962.5</v>
      </c>
      <c r="I122" s="116">
        <v>61417774.749999985</v>
      </c>
      <c r="J122" s="116">
        <v>0</v>
      </c>
      <c r="K122" s="116">
        <v>0</v>
      </c>
      <c r="L122" s="116">
        <v>59925.32</v>
      </c>
      <c r="M122" s="118">
        <v>61357849.429999985</v>
      </c>
      <c r="N122" s="117">
        <v>342709499.8699999</v>
      </c>
      <c r="O122" s="119">
        <v>0</v>
      </c>
      <c r="P122" s="119">
        <v>763202666.17</v>
      </c>
      <c r="Q122" s="128">
        <v>70690.41709999999</v>
      </c>
      <c r="S122" s="160">
        <f t="shared" si="6"/>
        <v>70417157.90721291</v>
      </c>
      <c r="T122" s="128">
        <f t="shared" si="5"/>
        <v>70461709.78194654</v>
      </c>
      <c r="Z122" s="116">
        <v>127</v>
      </c>
      <c r="AA122" s="116" t="s">
        <v>416</v>
      </c>
      <c r="AB122" s="116">
        <v>13772761.066380776</v>
      </c>
      <c r="AD122" s="116">
        <v>127</v>
      </c>
      <c r="AE122" s="116" t="s">
        <v>416</v>
      </c>
      <c r="AF122" s="116">
        <v>14092041.614496417</v>
      </c>
    </row>
    <row r="123" spans="1:32" ht="12.75">
      <c r="A123" s="114">
        <v>130</v>
      </c>
      <c r="B123" s="115">
        <v>13547229.99</v>
      </c>
      <c r="C123" s="116">
        <v>0</v>
      </c>
      <c r="D123" s="116">
        <v>0</v>
      </c>
      <c r="E123" s="116">
        <v>598066</v>
      </c>
      <c r="F123" s="116">
        <v>0</v>
      </c>
      <c r="G123" s="117">
        <v>12949163.99</v>
      </c>
      <c r="H123" s="116">
        <v>3110675.64</v>
      </c>
      <c r="I123" s="116">
        <v>2743537.21</v>
      </c>
      <c r="J123" s="116">
        <v>0</v>
      </c>
      <c r="K123" s="116">
        <v>0</v>
      </c>
      <c r="L123" s="116">
        <v>0</v>
      </c>
      <c r="M123" s="118">
        <v>2743537.21</v>
      </c>
      <c r="N123" s="117">
        <v>11208985.830000002</v>
      </c>
      <c r="O123" s="119">
        <v>31159.43</v>
      </c>
      <c r="P123" s="119">
        <v>30012362.67</v>
      </c>
      <c r="Q123" s="128">
        <v>3002.42205</v>
      </c>
      <c r="S123" s="160">
        <f t="shared" si="6"/>
        <v>2997030.401064549</v>
      </c>
      <c r="T123" s="128">
        <f t="shared" si="5"/>
        <v>2894544.992747426</v>
      </c>
      <c r="Z123" s="116">
        <v>128</v>
      </c>
      <c r="AA123" s="116" t="s">
        <v>417</v>
      </c>
      <c r="AB123" s="116">
        <v>70417157.90721291</v>
      </c>
      <c r="AD123" s="116">
        <v>128</v>
      </c>
      <c r="AE123" s="116" t="s">
        <v>417</v>
      </c>
      <c r="AF123" s="116">
        <v>70461709.78194654</v>
      </c>
    </row>
    <row r="124" spans="1:32" ht="12.75">
      <c r="A124" s="114">
        <v>131</v>
      </c>
      <c r="B124" s="115">
        <v>29093751.95</v>
      </c>
      <c r="C124" s="116">
        <v>0</v>
      </c>
      <c r="D124" s="116">
        <v>0</v>
      </c>
      <c r="E124" s="116">
        <v>302028.68</v>
      </c>
      <c r="F124" s="116">
        <v>0</v>
      </c>
      <c r="G124" s="117">
        <v>28791723.27</v>
      </c>
      <c r="H124" s="116">
        <v>9351386.299999999</v>
      </c>
      <c r="I124" s="116">
        <v>4632514.76</v>
      </c>
      <c r="J124" s="116">
        <v>0</v>
      </c>
      <c r="K124" s="116">
        <v>0</v>
      </c>
      <c r="L124" s="116">
        <v>31738.47</v>
      </c>
      <c r="M124" s="118">
        <v>4600776.29</v>
      </c>
      <c r="N124" s="117">
        <v>69582568.22000001</v>
      </c>
      <c r="O124" s="119">
        <v>101515463.49</v>
      </c>
      <c r="P124" s="119">
        <v>112326454.08000001</v>
      </c>
      <c r="Q124" s="128">
        <f>763.65886+R48</f>
        <v>10111.52307</v>
      </c>
      <c r="S124" s="160">
        <f>VLOOKUP(A124,$Z$3:$AB$138,3,FALSE)+VLOOKUP(47,$Z$3:$AB$138,3,FALSE)</f>
        <v>9009743.371485062</v>
      </c>
      <c r="T124" s="128">
        <f>VLOOKUP($A124,$AD$3:$AF$138,3,FALSE)+VLOOKUP(47,$AD$3:$AF$138,3,FALSE)</f>
        <v>9980361.100803835</v>
      </c>
      <c r="Z124" s="116">
        <v>130</v>
      </c>
      <c r="AA124" s="116" t="s">
        <v>418</v>
      </c>
      <c r="AB124" s="116">
        <v>2997030.401064549</v>
      </c>
      <c r="AD124" s="116">
        <v>130</v>
      </c>
      <c r="AE124" s="116" t="s">
        <v>418</v>
      </c>
      <c r="AF124" s="116">
        <v>2894544.992747426</v>
      </c>
    </row>
    <row r="125" spans="1:32" ht="12.75">
      <c r="A125" s="114">
        <v>132</v>
      </c>
      <c r="B125" s="115">
        <v>11744235.080000002</v>
      </c>
      <c r="C125" s="116">
        <v>0</v>
      </c>
      <c r="D125" s="116">
        <v>0</v>
      </c>
      <c r="E125" s="116">
        <v>0</v>
      </c>
      <c r="F125" s="116">
        <v>0</v>
      </c>
      <c r="G125" s="117">
        <v>11744235.080000002</v>
      </c>
      <c r="H125" s="116">
        <v>3431975.9</v>
      </c>
      <c r="I125" s="116">
        <v>2995603.5</v>
      </c>
      <c r="J125" s="116">
        <v>0</v>
      </c>
      <c r="K125" s="116">
        <v>0</v>
      </c>
      <c r="L125" s="116">
        <v>0</v>
      </c>
      <c r="M125" s="118">
        <v>2995603.5</v>
      </c>
      <c r="N125" s="117">
        <v>27287012.22</v>
      </c>
      <c r="O125" s="119">
        <v>0</v>
      </c>
      <c r="P125" s="119">
        <v>45458826.7</v>
      </c>
      <c r="Q125" s="128">
        <v>3669.8721299999997</v>
      </c>
      <c r="S125" s="160">
        <f t="shared" si="6"/>
        <v>3314863.3487502593</v>
      </c>
      <c r="T125" s="128">
        <f t="shared" si="5"/>
        <v>3537276.6435364783</v>
      </c>
      <c r="Z125" s="116">
        <v>131</v>
      </c>
      <c r="AA125" s="116" t="s">
        <v>419</v>
      </c>
      <c r="AB125" s="116">
        <v>691924.837788155</v>
      </c>
      <c r="AD125" s="116">
        <v>131</v>
      </c>
      <c r="AE125" s="116" t="s">
        <v>419</v>
      </c>
      <c r="AF125" s="116">
        <v>834199.6075077537</v>
      </c>
    </row>
    <row r="126" spans="1:32" ht="12.75">
      <c r="A126" s="114">
        <v>134</v>
      </c>
      <c r="B126" s="115">
        <v>0</v>
      </c>
      <c r="C126" s="116">
        <v>0</v>
      </c>
      <c r="D126" s="116">
        <v>0</v>
      </c>
      <c r="E126" s="116">
        <v>0</v>
      </c>
      <c r="F126" s="116">
        <v>0</v>
      </c>
      <c r="G126" s="117">
        <v>0</v>
      </c>
      <c r="H126" s="116" t="s">
        <v>622</v>
      </c>
      <c r="I126" s="116">
        <v>0</v>
      </c>
      <c r="J126" s="116">
        <v>0</v>
      </c>
      <c r="K126" s="116">
        <v>0</v>
      </c>
      <c r="L126" s="116">
        <v>0</v>
      </c>
      <c r="M126" s="118">
        <v>0</v>
      </c>
      <c r="N126" s="117">
        <v>0</v>
      </c>
      <c r="O126" s="119">
        <v>0</v>
      </c>
      <c r="P126" s="119">
        <v>0</v>
      </c>
      <c r="Q126" s="128">
        <v>0</v>
      </c>
      <c r="R126" s="128">
        <v>2785.05019</v>
      </c>
      <c r="S126" s="160" t="s">
        <v>622</v>
      </c>
      <c r="T126" s="128">
        <v>0</v>
      </c>
      <c r="Z126" s="116">
        <v>132</v>
      </c>
      <c r="AA126" s="116" t="s">
        <v>420</v>
      </c>
      <c r="AB126" s="116">
        <v>3314863.3487502593</v>
      </c>
      <c r="AD126" s="116">
        <v>132</v>
      </c>
      <c r="AE126" s="116" t="s">
        <v>420</v>
      </c>
      <c r="AF126" s="116">
        <v>3537276.6435364783</v>
      </c>
    </row>
    <row r="127" spans="1:32" ht="12.75">
      <c r="A127" s="114">
        <v>135</v>
      </c>
      <c r="B127" s="115">
        <v>8089371.24</v>
      </c>
      <c r="C127" s="116">
        <v>0</v>
      </c>
      <c r="D127" s="116">
        <v>0</v>
      </c>
      <c r="E127" s="116">
        <v>330382.29</v>
      </c>
      <c r="F127" s="116">
        <v>0</v>
      </c>
      <c r="G127" s="117">
        <v>7758988.95</v>
      </c>
      <c r="H127" s="116">
        <v>1164664.26</v>
      </c>
      <c r="I127" s="116">
        <v>1744838.56</v>
      </c>
      <c r="J127" s="116">
        <v>0</v>
      </c>
      <c r="K127" s="116">
        <v>0</v>
      </c>
      <c r="L127" s="116">
        <v>37468.62</v>
      </c>
      <c r="M127" s="118">
        <v>1707369.94</v>
      </c>
      <c r="N127" s="117">
        <v>4977227.23</v>
      </c>
      <c r="O127" s="119">
        <v>0</v>
      </c>
      <c r="P127" s="119">
        <v>15608250.38</v>
      </c>
      <c r="Q127" s="128">
        <v>1268.1389199999999</v>
      </c>
      <c r="S127" s="160">
        <f t="shared" si="6"/>
        <v>1122114.4444115213</v>
      </c>
      <c r="T127" s="128">
        <f t="shared" si="5"/>
        <v>1217135.5209451562</v>
      </c>
      <c r="Z127" s="116">
        <v>134</v>
      </c>
      <c r="AA127" s="116" t="s">
        <v>421</v>
      </c>
      <c r="AB127" s="116">
        <v>2599347.844190659</v>
      </c>
      <c r="AD127" s="116">
        <v>134</v>
      </c>
      <c r="AE127" s="116" t="s">
        <v>421</v>
      </c>
      <c r="AF127" s="116">
        <v>2660278.3162916033</v>
      </c>
    </row>
    <row r="128" spans="1:32" ht="12.75">
      <c r="A128" s="114">
        <v>136</v>
      </c>
      <c r="B128" s="115">
        <v>178276806.53</v>
      </c>
      <c r="C128" s="116">
        <v>0</v>
      </c>
      <c r="D128" s="116">
        <v>0</v>
      </c>
      <c r="E128" s="116">
        <v>3486257.58</v>
      </c>
      <c r="F128" s="116">
        <v>0</v>
      </c>
      <c r="G128" s="117">
        <v>174790548.95</v>
      </c>
      <c r="H128" s="116">
        <v>40632956.91</v>
      </c>
      <c r="I128" s="116">
        <v>24431275.07999999</v>
      </c>
      <c r="J128" s="116">
        <v>0</v>
      </c>
      <c r="K128" s="116">
        <v>0</v>
      </c>
      <c r="L128" s="116">
        <v>0</v>
      </c>
      <c r="M128" s="118">
        <v>24431275.07999999</v>
      </c>
      <c r="N128" s="117">
        <v>179311429.16000006</v>
      </c>
      <c r="O128" s="119">
        <v>0</v>
      </c>
      <c r="P128" s="119">
        <v>419166210.1</v>
      </c>
      <c r="Q128" s="128">
        <v>39209.91745</v>
      </c>
      <c r="S128" s="160">
        <f t="shared" si="6"/>
        <v>39246400.34533195</v>
      </c>
      <c r="T128" s="128">
        <f t="shared" si="5"/>
        <v>38376185.36428558</v>
      </c>
      <c r="Z128" s="116">
        <v>135</v>
      </c>
      <c r="AA128" s="116" t="s">
        <v>422</v>
      </c>
      <c r="AB128" s="116">
        <v>1122114.4444115213</v>
      </c>
      <c r="AD128" s="116">
        <v>135</v>
      </c>
      <c r="AE128" s="116" t="s">
        <v>422</v>
      </c>
      <c r="AF128" s="116">
        <v>1217135.5209451562</v>
      </c>
    </row>
    <row r="129" spans="1:32" ht="12.75">
      <c r="A129" s="114">
        <v>137</v>
      </c>
      <c r="B129" s="115">
        <v>2508704.32</v>
      </c>
      <c r="C129" s="116">
        <v>310752.51</v>
      </c>
      <c r="D129" s="116">
        <v>44276</v>
      </c>
      <c r="E129" s="116">
        <v>0</v>
      </c>
      <c r="F129" s="116">
        <v>0</v>
      </c>
      <c r="G129" s="117">
        <v>2775180.83</v>
      </c>
      <c r="H129" s="116">
        <v>513412.52</v>
      </c>
      <c r="I129" s="116">
        <v>250738.47</v>
      </c>
      <c r="J129" s="116">
        <v>0</v>
      </c>
      <c r="K129" s="116">
        <v>0</v>
      </c>
      <c r="L129" s="116">
        <v>0</v>
      </c>
      <c r="M129" s="118">
        <v>250738.47</v>
      </c>
      <c r="N129" s="117">
        <v>2313640.48</v>
      </c>
      <c r="O129" s="119">
        <v>0</v>
      </c>
      <c r="P129" s="119">
        <v>5852972.3</v>
      </c>
      <c r="Q129" s="128">
        <v>611.2555600000001</v>
      </c>
      <c r="S129" s="160">
        <f t="shared" si="6"/>
        <v>494655.50308832363</v>
      </c>
      <c r="T129" s="128">
        <f t="shared" si="5"/>
        <v>432492.32576459594</v>
      </c>
      <c r="Z129" s="116">
        <v>136</v>
      </c>
      <c r="AA129" s="116" t="s">
        <v>423</v>
      </c>
      <c r="AB129" s="116">
        <v>39246400.34533195</v>
      </c>
      <c r="AD129" s="116">
        <v>136</v>
      </c>
      <c r="AE129" s="116" t="s">
        <v>423</v>
      </c>
      <c r="AF129" s="116">
        <v>38376185.36428558</v>
      </c>
    </row>
    <row r="130" spans="1:32" ht="12.75">
      <c r="A130" s="114">
        <v>138</v>
      </c>
      <c r="B130" s="115">
        <v>0</v>
      </c>
      <c r="C130" s="116">
        <v>0</v>
      </c>
      <c r="D130" s="116">
        <v>0</v>
      </c>
      <c r="E130" s="116">
        <v>0</v>
      </c>
      <c r="F130" s="116">
        <v>0</v>
      </c>
      <c r="G130" s="117">
        <v>0</v>
      </c>
      <c r="H130" s="116" t="s">
        <v>622</v>
      </c>
      <c r="I130" s="116">
        <v>0</v>
      </c>
      <c r="J130" s="116">
        <v>0</v>
      </c>
      <c r="K130" s="116">
        <v>0</v>
      </c>
      <c r="L130" s="116">
        <v>0</v>
      </c>
      <c r="M130" s="118">
        <v>0</v>
      </c>
      <c r="N130" s="117">
        <v>0</v>
      </c>
      <c r="O130" s="119">
        <v>0</v>
      </c>
      <c r="P130" s="119">
        <v>0</v>
      </c>
      <c r="Q130" s="128">
        <v>0</v>
      </c>
      <c r="R130" s="128">
        <v>832.37774</v>
      </c>
      <c r="S130" s="160" t="s">
        <v>622</v>
      </c>
      <c r="T130" s="128">
        <v>0</v>
      </c>
      <c r="Z130" s="116">
        <v>137</v>
      </c>
      <c r="AA130" s="116" t="s">
        <v>424</v>
      </c>
      <c r="AB130" s="116">
        <v>494655.50308832363</v>
      </c>
      <c r="AD130" s="116">
        <v>137</v>
      </c>
      <c r="AE130" s="116" t="s">
        <v>424</v>
      </c>
      <c r="AF130" s="116">
        <v>432492.32576459594</v>
      </c>
    </row>
    <row r="131" spans="1:32" ht="12.75">
      <c r="A131" s="114">
        <v>139</v>
      </c>
      <c r="B131" s="115">
        <v>15814615.83</v>
      </c>
      <c r="C131" s="116">
        <v>0</v>
      </c>
      <c r="D131" s="116">
        <v>0</v>
      </c>
      <c r="E131" s="116">
        <v>266490</v>
      </c>
      <c r="F131" s="116">
        <v>227035.6</v>
      </c>
      <c r="G131" s="117">
        <v>15321090.23</v>
      </c>
      <c r="H131" s="116">
        <v>3266325.6</v>
      </c>
      <c r="I131" s="116">
        <v>1649986.65</v>
      </c>
      <c r="J131" s="116">
        <v>0</v>
      </c>
      <c r="K131" s="116">
        <v>0</v>
      </c>
      <c r="L131" s="116">
        <v>26980.03</v>
      </c>
      <c r="M131" s="118">
        <v>1623006.62</v>
      </c>
      <c r="N131" s="117">
        <v>18914463.199999996</v>
      </c>
      <c r="O131" s="119">
        <v>38477.01</v>
      </c>
      <c r="P131" s="119">
        <v>39124885.65</v>
      </c>
      <c r="Q131" s="128">
        <v>3936.39428</v>
      </c>
      <c r="S131" s="160">
        <f t="shared" si="6"/>
        <v>3146993.8341275253</v>
      </c>
      <c r="T131" s="128">
        <f aca="true" t="shared" si="7" ref="T131:T137">VLOOKUP($A131,$AD$3:$AF$138,3,FALSE)</f>
        <v>3275979.196720368</v>
      </c>
      <c r="Z131" s="116">
        <v>138</v>
      </c>
      <c r="AA131" s="116" t="s">
        <v>425</v>
      </c>
      <c r="AB131" s="116">
        <v>874252.9851858749</v>
      </c>
      <c r="AD131" s="116">
        <v>138</v>
      </c>
      <c r="AE131" s="116" t="s">
        <v>425</v>
      </c>
      <c r="AF131" s="116">
        <v>928056.4490365288</v>
      </c>
    </row>
    <row r="132" spans="1:32" ht="12.75">
      <c r="A132" s="114">
        <v>140</v>
      </c>
      <c r="B132" s="115">
        <v>0</v>
      </c>
      <c r="C132" s="116">
        <v>0</v>
      </c>
      <c r="D132" s="116">
        <v>0</v>
      </c>
      <c r="E132" s="116">
        <v>0</v>
      </c>
      <c r="F132" s="116">
        <v>0</v>
      </c>
      <c r="G132" s="117">
        <v>0</v>
      </c>
      <c r="H132" s="116" t="s">
        <v>622</v>
      </c>
      <c r="I132" s="116">
        <v>0</v>
      </c>
      <c r="J132" s="116">
        <v>0</v>
      </c>
      <c r="K132" s="116">
        <v>0</v>
      </c>
      <c r="L132" s="116">
        <v>0</v>
      </c>
      <c r="M132" s="118">
        <v>0</v>
      </c>
      <c r="N132" s="117">
        <v>0</v>
      </c>
      <c r="O132" s="119">
        <v>0</v>
      </c>
      <c r="P132" s="119">
        <v>0</v>
      </c>
      <c r="Q132" s="128">
        <v>0</v>
      </c>
      <c r="R132" s="128">
        <v>863.63887</v>
      </c>
      <c r="S132" s="160" t="s">
        <v>622</v>
      </c>
      <c r="T132" s="128">
        <v>0</v>
      </c>
      <c r="Z132" s="116">
        <v>139</v>
      </c>
      <c r="AA132" s="116" t="s">
        <v>426</v>
      </c>
      <c r="AB132" s="116">
        <v>3146993.8341275253</v>
      </c>
      <c r="AD132" s="116">
        <v>139</v>
      </c>
      <c r="AE132" s="116" t="s">
        <v>426</v>
      </c>
      <c r="AF132" s="116">
        <v>3275979.196720368</v>
      </c>
    </row>
    <row r="133" spans="1:32" ht="12.75">
      <c r="A133" s="114">
        <v>142</v>
      </c>
      <c r="B133" s="115">
        <v>10251624.129999999</v>
      </c>
      <c r="C133" s="116">
        <v>0</v>
      </c>
      <c r="D133" s="116">
        <v>0</v>
      </c>
      <c r="E133" s="116">
        <v>0</v>
      </c>
      <c r="F133" s="116">
        <v>0</v>
      </c>
      <c r="G133" s="117">
        <v>10251624.129999999</v>
      </c>
      <c r="H133" s="116">
        <v>2185248.62</v>
      </c>
      <c r="I133" s="116">
        <v>961217.38</v>
      </c>
      <c r="J133" s="116">
        <v>0</v>
      </c>
      <c r="K133" s="116">
        <v>0</v>
      </c>
      <c r="L133" s="116">
        <v>0</v>
      </c>
      <c r="M133" s="118">
        <v>961217.38</v>
      </c>
      <c r="N133" s="117">
        <v>7905739.85</v>
      </c>
      <c r="O133" s="119">
        <v>0</v>
      </c>
      <c r="P133" s="119">
        <v>21303829.98</v>
      </c>
      <c r="Q133" s="128">
        <v>2458.7385400000003</v>
      </c>
      <c r="S133" s="160">
        <f t="shared" si="6"/>
        <v>2110679.363856512</v>
      </c>
      <c r="T133" s="128">
        <f t="shared" si="7"/>
        <v>2006283.8445190978</v>
      </c>
      <c r="Z133" s="116">
        <v>140</v>
      </c>
      <c r="AA133" s="116" t="s">
        <v>427</v>
      </c>
      <c r="AB133" s="116">
        <v>673270.003250717</v>
      </c>
      <c r="AD133" s="116">
        <v>140</v>
      </c>
      <c r="AE133" s="116" t="s">
        <v>427</v>
      </c>
      <c r="AF133" s="116">
        <v>677270.9684716415</v>
      </c>
    </row>
    <row r="134" spans="1:32" ht="12.75">
      <c r="A134" s="114">
        <v>143</v>
      </c>
      <c r="B134" s="115">
        <v>26571645.429999996</v>
      </c>
      <c r="C134" s="116">
        <v>0</v>
      </c>
      <c r="D134" s="116">
        <v>0</v>
      </c>
      <c r="E134" s="116">
        <v>359672.66</v>
      </c>
      <c r="F134" s="116">
        <v>5909250.63</v>
      </c>
      <c r="G134" s="117">
        <v>20302722.139999997</v>
      </c>
      <c r="H134" s="116">
        <v>6712306.8</v>
      </c>
      <c r="I134" s="116">
        <v>3570397.28</v>
      </c>
      <c r="J134" s="116">
        <v>0</v>
      </c>
      <c r="K134" s="116">
        <v>0</v>
      </c>
      <c r="L134" s="116">
        <v>186195.4</v>
      </c>
      <c r="M134" s="118">
        <v>3384201.88</v>
      </c>
      <c r="N134" s="117">
        <v>49413162.90000002</v>
      </c>
      <c r="O134" s="119">
        <v>184176.32</v>
      </c>
      <c r="P134" s="119">
        <v>79812393.72000001</v>
      </c>
      <c r="Q134" s="128">
        <v>6260.62249</v>
      </c>
      <c r="S134" s="160">
        <f t="shared" si="6"/>
        <v>6467079.789999381</v>
      </c>
      <c r="T134" s="128">
        <f t="shared" si="7"/>
        <v>5835642.978893124</v>
      </c>
      <c r="Z134" s="116">
        <v>142</v>
      </c>
      <c r="AA134" s="116" t="s">
        <v>428</v>
      </c>
      <c r="AB134" s="116">
        <v>2110679.363856512</v>
      </c>
      <c r="AD134" s="116">
        <v>142</v>
      </c>
      <c r="AE134" s="116" t="s">
        <v>428</v>
      </c>
      <c r="AF134" s="116">
        <v>2006283.8445190978</v>
      </c>
    </row>
    <row r="135" spans="1:32" ht="12.75">
      <c r="A135" s="114">
        <v>144</v>
      </c>
      <c r="B135" s="115">
        <v>12058993.9</v>
      </c>
      <c r="C135" s="116">
        <v>0</v>
      </c>
      <c r="D135" s="116">
        <v>0</v>
      </c>
      <c r="E135" s="116">
        <v>79137</v>
      </c>
      <c r="F135" s="116">
        <v>0</v>
      </c>
      <c r="G135" s="117">
        <v>11979856.9</v>
      </c>
      <c r="H135" s="116">
        <v>1959175.9</v>
      </c>
      <c r="I135" s="116">
        <v>1384015.04</v>
      </c>
      <c r="J135" s="116">
        <v>0</v>
      </c>
      <c r="K135" s="116">
        <v>0</v>
      </c>
      <c r="L135" s="116">
        <v>0</v>
      </c>
      <c r="M135" s="118">
        <v>1384015.04</v>
      </c>
      <c r="N135" s="117">
        <v>13921943.010000002</v>
      </c>
      <c r="O135" s="119">
        <v>59241.15</v>
      </c>
      <c r="P135" s="119">
        <v>29244990.85</v>
      </c>
      <c r="Q135" s="128">
        <v>2413.84085</v>
      </c>
      <c r="S135" s="160">
        <f t="shared" si="6"/>
        <v>1887599.4310911896</v>
      </c>
      <c r="T135" s="128">
        <f t="shared" si="7"/>
        <v>2057341.9663107516</v>
      </c>
      <c r="Z135" s="116">
        <v>143</v>
      </c>
      <c r="AA135" s="116" t="s">
        <v>429</v>
      </c>
      <c r="AB135" s="116">
        <v>6467079.789999381</v>
      </c>
      <c r="AD135" s="116">
        <v>143</v>
      </c>
      <c r="AE135" s="116" t="s">
        <v>429</v>
      </c>
      <c r="AF135" s="116">
        <v>5835642.978893124</v>
      </c>
    </row>
    <row r="136" spans="1:32" ht="12.75">
      <c r="A136" s="114">
        <v>202</v>
      </c>
      <c r="B136" s="115">
        <v>3389095.17</v>
      </c>
      <c r="C136" s="116">
        <v>0</v>
      </c>
      <c r="D136" s="116">
        <v>0</v>
      </c>
      <c r="E136" s="116">
        <v>219156.35</v>
      </c>
      <c r="F136" s="116">
        <v>0</v>
      </c>
      <c r="G136" s="117">
        <v>3169938.82</v>
      </c>
      <c r="H136" s="116">
        <v>410879.27</v>
      </c>
      <c r="I136" s="116">
        <v>898642.23</v>
      </c>
      <c r="J136" s="116">
        <v>0</v>
      </c>
      <c r="K136" s="116">
        <v>0</v>
      </c>
      <c r="L136" s="116">
        <v>0</v>
      </c>
      <c r="M136" s="118">
        <v>898642.23</v>
      </c>
      <c r="N136" s="117">
        <v>2118509.69</v>
      </c>
      <c r="O136" s="119">
        <v>0</v>
      </c>
      <c r="P136" s="119">
        <v>6597970.01</v>
      </c>
      <c r="Q136" s="128">
        <v>592.3611099999999</v>
      </c>
      <c r="S136" s="160">
        <f t="shared" si="6"/>
        <v>396918.14124130947</v>
      </c>
      <c r="T136" s="128">
        <f t="shared" si="7"/>
        <v>419727.79531668255</v>
      </c>
      <c r="Z136" s="116">
        <v>144</v>
      </c>
      <c r="AA136" s="116" t="s">
        <v>430</v>
      </c>
      <c r="AB136" s="116">
        <v>1887599.4310911896</v>
      </c>
      <c r="AD136" s="116">
        <v>144</v>
      </c>
      <c r="AE136" s="116" t="s">
        <v>430</v>
      </c>
      <c r="AF136" s="116">
        <v>2057341.9663107516</v>
      </c>
    </row>
    <row r="137" spans="1:32" ht="13.5" thickBot="1">
      <c r="A137" s="114">
        <v>207</v>
      </c>
      <c r="B137" s="115">
        <v>4319162.43</v>
      </c>
      <c r="C137" s="116">
        <v>0</v>
      </c>
      <c r="D137" s="116">
        <v>0</v>
      </c>
      <c r="E137" s="116">
        <v>0</v>
      </c>
      <c r="F137" s="116">
        <v>0</v>
      </c>
      <c r="G137" s="117">
        <v>4319162.43</v>
      </c>
      <c r="H137" s="116">
        <v>576125.33</v>
      </c>
      <c r="I137" s="116">
        <v>263960.23</v>
      </c>
      <c r="J137" s="116">
        <v>0</v>
      </c>
      <c r="K137" s="116">
        <v>0</v>
      </c>
      <c r="L137" s="116">
        <v>0</v>
      </c>
      <c r="M137" s="118">
        <v>263960.23</v>
      </c>
      <c r="N137" s="117">
        <v>3609816.04</v>
      </c>
      <c r="O137" s="119">
        <v>53643.82</v>
      </c>
      <c r="P137" s="119">
        <v>8769064.03</v>
      </c>
      <c r="Q137" s="129">
        <v>805.27221</v>
      </c>
      <c r="S137" s="160">
        <f t="shared" si="6"/>
        <v>556580.7018158211</v>
      </c>
      <c r="T137" s="129">
        <f t="shared" si="7"/>
        <v>563141.049172651</v>
      </c>
      <c r="Z137" s="116">
        <v>202</v>
      </c>
      <c r="AA137" s="116" t="s">
        <v>431</v>
      </c>
      <c r="AB137" s="116">
        <v>396918.14124130947</v>
      </c>
      <c r="AD137" s="116">
        <v>202</v>
      </c>
      <c r="AE137" s="116" t="s">
        <v>431</v>
      </c>
      <c r="AF137" s="116">
        <v>419727.79531668255</v>
      </c>
    </row>
    <row r="138" spans="1:32" s="120" customFormat="1" ht="12.75">
      <c r="A138" s="121" t="s">
        <v>622</v>
      </c>
      <c r="B138" s="122">
        <f>SUM(B2:B137)</f>
        <v>4721890415.399999</v>
      </c>
      <c r="C138" s="122">
        <f aca="true" t="shared" si="8" ref="C138:P138">SUM(C2:C137)</f>
        <v>20791728.130000003</v>
      </c>
      <c r="D138" s="122">
        <f t="shared" si="8"/>
        <v>23988311.93</v>
      </c>
      <c r="E138" s="122">
        <f t="shared" si="8"/>
        <v>87526165.5</v>
      </c>
      <c r="F138" s="122">
        <f t="shared" si="8"/>
        <v>23688266.090000004</v>
      </c>
      <c r="G138" s="122">
        <f t="shared" si="8"/>
        <v>4607479400.009998</v>
      </c>
      <c r="H138" s="122">
        <f t="shared" si="8"/>
        <v>1150692367.9500003</v>
      </c>
      <c r="I138" s="122">
        <f t="shared" si="8"/>
        <v>866853699.8900001</v>
      </c>
      <c r="J138" s="122">
        <f t="shared" si="8"/>
        <v>2407478.75</v>
      </c>
      <c r="K138" s="122">
        <f t="shared" si="8"/>
        <v>3268084.56</v>
      </c>
      <c r="L138" s="122">
        <f t="shared" si="8"/>
        <v>8662294.450000001</v>
      </c>
      <c r="M138" s="122">
        <f t="shared" si="8"/>
        <v>857330799.6300004</v>
      </c>
      <c r="N138" s="122">
        <f t="shared" si="8"/>
        <v>6591291977.359996</v>
      </c>
      <c r="O138" s="122">
        <f t="shared" si="8"/>
        <v>170531724.58999997</v>
      </c>
      <c r="P138" s="122">
        <f t="shared" si="8"/>
        <v>13206794544.949997</v>
      </c>
      <c r="Q138" s="131">
        <f>SUM(Q2:Q137)</f>
        <v>1196576.8603400001</v>
      </c>
      <c r="R138" s="116"/>
      <c r="S138" s="158">
        <f>SUM(S2:S137)</f>
        <v>1107900000</v>
      </c>
      <c r="T138" s="158">
        <f>SUM(T1:T137)</f>
        <v>1135200000</v>
      </c>
      <c r="Z138" s="120">
        <v>207</v>
      </c>
      <c r="AA138" s="120" t="s">
        <v>432</v>
      </c>
      <c r="AB138" s="120">
        <v>556580.7018158211</v>
      </c>
      <c r="AD138" s="120">
        <v>207</v>
      </c>
      <c r="AE138" s="120" t="s">
        <v>432</v>
      </c>
      <c r="AF138" s="120">
        <v>563141.049172651</v>
      </c>
    </row>
    <row r="139" spans="2:20" ht="12.75">
      <c r="B139" s="115">
        <v>0</v>
      </c>
      <c r="C139" s="117">
        <v>0</v>
      </c>
      <c r="D139" s="117">
        <v>0</v>
      </c>
      <c r="E139" s="117">
        <v>0</v>
      </c>
      <c r="F139" s="117">
        <v>0</v>
      </c>
      <c r="G139" s="117">
        <v>9.5367431640625E-07</v>
      </c>
      <c r="H139" s="117">
        <v>0</v>
      </c>
      <c r="I139" s="117">
        <v>0</v>
      </c>
      <c r="J139" s="117">
        <v>0</v>
      </c>
      <c r="K139" s="117">
        <v>0</v>
      </c>
      <c r="L139" s="117">
        <v>0</v>
      </c>
      <c r="M139" s="117">
        <v>-2.384185791015625E-07</v>
      </c>
      <c r="N139" s="117">
        <v>5.7220458984375E-06</v>
      </c>
      <c r="O139" s="117">
        <v>0</v>
      </c>
      <c r="P139" s="119">
        <v>0</v>
      </c>
      <c r="Q139" s="130">
        <v>0</v>
      </c>
      <c r="S139" s="130">
        <f>S138-AB140</f>
        <v>0</v>
      </c>
      <c r="T139" s="130">
        <v>0</v>
      </c>
    </row>
    <row r="140" spans="2:32" ht="12.75">
      <c r="B140" s="122"/>
      <c r="C140" s="122"/>
      <c r="D140" s="122"/>
      <c r="E140" s="122"/>
      <c r="F140" s="122"/>
      <c r="G140" s="122"/>
      <c r="H140" s="122"/>
      <c r="I140" s="122"/>
      <c r="J140" s="122"/>
      <c r="K140" s="122"/>
      <c r="L140" s="122"/>
      <c r="M140" s="122"/>
      <c r="N140" s="122"/>
      <c r="O140" s="123"/>
      <c r="P140" s="123"/>
      <c r="Q140" s="161"/>
      <c r="S140" s="162"/>
      <c r="T140" s="64"/>
      <c r="AA140" s="116" t="s">
        <v>631</v>
      </c>
      <c r="AB140" s="116">
        <f>SUM(AB3:AB139)</f>
        <v>1107899999.9999998</v>
      </c>
      <c r="AE140" s="116" t="s">
        <v>631</v>
      </c>
      <c r="AF140" s="116">
        <f>SUM(AF3:AF139)</f>
        <v>1135199999.9999998</v>
      </c>
    </row>
    <row r="141" spans="17:20" ht="12.75">
      <c r="Q141" s="64"/>
      <c r="S141" s="64"/>
      <c r="T141" s="64"/>
    </row>
    <row r="142" spans="17:20" ht="12.75">
      <c r="Q142" s="64"/>
      <c r="S142" s="64"/>
      <c r="T142" s="64"/>
    </row>
    <row r="143" spans="17:20" ht="12.75">
      <c r="Q143" s="64"/>
      <c r="S143" s="64"/>
      <c r="T143" s="64"/>
    </row>
    <row r="168" ht="12.75">
      <c r="R168" s="120"/>
    </row>
    <row r="526" ht="12.75">
      <c r="B526" s="125"/>
    </row>
    <row r="527" ht="12.75">
      <c r="B527" s="125"/>
    </row>
    <row r="528" ht="12.75">
      <c r="B528" s="125"/>
    </row>
    <row r="529" ht="12.75">
      <c r="B529" s="125"/>
    </row>
    <row r="530" ht="12.75">
      <c r="B530" s="125"/>
    </row>
    <row r="531" ht="12.75">
      <c r="B531" s="125"/>
    </row>
    <row r="532" ht="12.75">
      <c r="B532" s="125"/>
    </row>
    <row r="533" ht="12.75">
      <c r="B533" s="125"/>
    </row>
    <row r="534" ht="12.75">
      <c r="B534" s="125"/>
    </row>
    <row r="535" ht="12.75">
      <c r="B535" s="125"/>
    </row>
    <row r="536" ht="12.75">
      <c r="B536" s="125"/>
    </row>
    <row r="537" ht="12.75">
      <c r="B537" s="125"/>
    </row>
    <row r="538" ht="12.75">
      <c r="B538" s="125"/>
    </row>
    <row r="539" ht="12.75">
      <c r="B539" s="125"/>
    </row>
    <row r="540" ht="12.75">
      <c r="B540" s="125"/>
    </row>
    <row r="541" ht="12.75">
      <c r="B541" s="125"/>
    </row>
    <row r="542" ht="12.75">
      <c r="B542" s="125"/>
    </row>
    <row r="543" ht="12.75">
      <c r="B543" s="125"/>
    </row>
    <row r="544" ht="12.75">
      <c r="B544" s="125"/>
    </row>
    <row r="545" ht="12.75">
      <c r="B545" s="125"/>
    </row>
    <row r="546" ht="12.75">
      <c r="B546" s="125"/>
    </row>
    <row r="547" ht="12.75">
      <c r="B547" s="125"/>
    </row>
    <row r="548" ht="12.75">
      <c r="B548" s="125"/>
    </row>
    <row r="549" ht="12.75">
      <c r="B549" s="125"/>
    </row>
    <row r="550" ht="12.75">
      <c r="B550" s="125"/>
    </row>
    <row r="551" ht="12.75">
      <c r="B551" s="125"/>
    </row>
    <row r="552" ht="12.75">
      <c r="B552" s="125"/>
    </row>
    <row r="553" ht="12.75">
      <c r="B553" s="125"/>
    </row>
    <row r="554" ht="12.75">
      <c r="B554" s="125"/>
    </row>
    <row r="555" ht="12.75">
      <c r="B555" s="125"/>
    </row>
    <row r="556" ht="12.75">
      <c r="B556" s="125"/>
    </row>
    <row r="557" ht="12.75">
      <c r="B557" s="125"/>
    </row>
    <row r="558" ht="12.75">
      <c r="B558" s="125"/>
    </row>
    <row r="559" ht="12.75">
      <c r="B559" s="125"/>
    </row>
    <row r="560" ht="12.75">
      <c r="B560" s="125"/>
    </row>
    <row r="561" ht="12.75">
      <c r="B561" s="125"/>
    </row>
    <row r="562" ht="12.75">
      <c r="B562" s="125"/>
    </row>
    <row r="563" ht="12.75">
      <c r="B563" s="125"/>
    </row>
    <row r="564" ht="12.75">
      <c r="B564" s="125"/>
    </row>
    <row r="565" ht="12.75">
      <c r="B565" s="125"/>
    </row>
    <row r="566" ht="12.75">
      <c r="B566" s="125"/>
    </row>
    <row r="567" ht="12.75">
      <c r="B567" s="125"/>
    </row>
    <row r="568" ht="12.75">
      <c r="B568" s="125"/>
    </row>
    <row r="569" ht="12.75">
      <c r="B569" s="125"/>
    </row>
    <row r="570" ht="12.75">
      <c r="B570" s="125"/>
    </row>
    <row r="571" ht="12.75">
      <c r="B571" s="125"/>
    </row>
    <row r="572" ht="12.75">
      <c r="B572" s="125"/>
    </row>
    <row r="573" ht="12.75">
      <c r="B573" s="125"/>
    </row>
    <row r="574" ht="12.75">
      <c r="B574" s="125"/>
    </row>
    <row r="575" ht="12.75">
      <c r="B575" s="125"/>
    </row>
    <row r="576" ht="12.75">
      <c r="B576" s="125"/>
    </row>
    <row r="577" ht="12.75">
      <c r="B577" s="125"/>
    </row>
    <row r="578" ht="12.75">
      <c r="B578" s="125"/>
    </row>
    <row r="579" ht="12.75">
      <c r="B579" s="125"/>
    </row>
    <row r="580" ht="12.75">
      <c r="B580" s="125"/>
    </row>
    <row r="581" ht="12.75">
      <c r="B581" s="125"/>
    </row>
    <row r="582" ht="12.75">
      <c r="B582" s="125"/>
    </row>
    <row r="583" ht="12.75">
      <c r="B583" s="125"/>
    </row>
    <row r="584" ht="12.75">
      <c r="B584" s="125"/>
    </row>
    <row r="585" ht="12.75">
      <c r="B585" s="125"/>
    </row>
    <row r="586" ht="12.75">
      <c r="B586" s="125"/>
    </row>
    <row r="587" ht="12.75">
      <c r="B587" s="125"/>
    </row>
    <row r="588" ht="12.75">
      <c r="B588" s="125"/>
    </row>
    <row r="589" ht="12.75">
      <c r="B589" s="125"/>
    </row>
    <row r="590" ht="12.75">
      <c r="B590" s="125"/>
    </row>
    <row r="591" ht="12.75">
      <c r="B591" s="125"/>
    </row>
    <row r="592" ht="12.75">
      <c r="B592" s="125"/>
    </row>
    <row r="593" ht="12.75">
      <c r="B593" s="125"/>
    </row>
    <row r="594" ht="12.75">
      <c r="B594" s="125"/>
    </row>
  </sheetData>
  <mergeCells count="2">
    <mergeCell ref="Z1:AB1"/>
    <mergeCell ref="AD1:AF1"/>
  </mergeCells>
  <conditionalFormatting sqref="Q140:Q65536 R1:R65536 S1:T137 U1:IV65536 S140:T65536 A1:B65536 C1:Q137 C138:P65536">
    <cfRule type="cellIs" priority="1" dxfId="7" operator="lessThan" stopIfTrue="1">
      <formula>0</formula>
    </cfRule>
  </conditionalFormatting>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K. Logwood</dc:creator>
  <cp:keywords/>
  <dc:description/>
  <cp:lastModifiedBy>Virginia Dept. of Education</cp:lastModifiedBy>
  <cp:lastPrinted>2009-03-19T14:47:42Z</cp:lastPrinted>
  <dcterms:created xsi:type="dcterms:W3CDTF">2002-03-29T22:05:40Z</dcterms:created>
  <dcterms:modified xsi:type="dcterms:W3CDTF">2009-03-19T14:48:09Z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