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2120" windowHeight="8040" tabRatio="865" activeTab="0"/>
  </bookViews>
  <sheets>
    <sheet name="FY 2005 TABLE 15" sheetId="1" r:id="rId1"/>
    <sheet name="Fiscal Year 2005 Worksheet" sheetId="2" r:id="rId2"/>
    <sheet name="Fiscal Year 2006 Worksheet" sheetId="3" r:id="rId3"/>
    <sheet name="Fiscal Year 2007 Worksheet" sheetId="4" r:id="rId4"/>
    <sheet name="Division Source" sheetId="5" state="hidden" r:id="rId5"/>
    <sheet name="Source Data" sheetId="6" state="hidden" r:id="rId6"/>
  </sheets>
  <externalReferences>
    <externalReference r:id="rId9"/>
    <externalReference r:id="rId10"/>
    <externalReference r:id="rId11"/>
  </externalReferences>
  <definedNames>
    <definedName name="Comparison" hidden="1">{"'do017lst'!$A$1:$D$267"}</definedName>
    <definedName name="HTML_Cntrl" hidden="1">{"'do017lst'!$A$1:$D$267"}</definedName>
    <definedName name="HTML_CodePage" hidden="1">1252</definedName>
    <definedName name="HTML_Control" localSheetId="1" hidden="1">{"'do017lst'!$A$1:$D$267"}</definedName>
    <definedName name="HTML_Control" localSheetId="5" hidden="1">{"'do017lst'!$A$1:$D$267"}</definedName>
    <definedName name="HTML_Control" hidden="1">{"'do017lst'!$A$1:$D$267"}</definedName>
    <definedName name="HTML_Description" hidden="1">"1998 - 1999 Dropout Statistics"</definedName>
    <definedName name="HTML_Email" hidden="1">""</definedName>
    <definedName name="HTML_Header" hidden="1">"Virginia Department of Education"</definedName>
    <definedName name="HTML_LastUpdate" hidden="1">"2/3/2000"</definedName>
    <definedName name="HTML_LineAfter" hidden="1">FALSE</definedName>
    <definedName name="HTML_LineBefore" hidden="1">FALSE</definedName>
    <definedName name="HTML_Name" hidden="1">"Virginia Dept. of Education"</definedName>
    <definedName name="HTML_OBDlg2" hidden="1">TRUE</definedName>
    <definedName name="HTML_OBDlg4" hidden="1">TRUE</definedName>
    <definedName name="HTML_OS" hidden="1">0</definedName>
    <definedName name="HTML_PathFile" hidden="1">"H:\adhoc\dropouts\1998 repts\do9899.htm"</definedName>
    <definedName name="HTML_Title" hidden="1">"Va Dept of Education -- Dropouts"</definedName>
    <definedName name="htmll_cntrl" hidden="1">{"'do017lst'!$A$1:$D$267"}</definedName>
    <definedName name="_xlnm.Print_Area" localSheetId="1">'Fiscal Year 2005 Worksheet'!$A$1:$H$51</definedName>
    <definedName name="_xlnm.Print_Area" localSheetId="2">'Fiscal Year 2006 Worksheet'!$A$1:$H$51</definedName>
    <definedName name="_xlnm.Print_Area" localSheetId="3">'Fiscal Year 2007 Worksheet'!$A$1:$H$51</definedName>
    <definedName name="_xlnm.Print_Area" localSheetId="0">'FY 2005 TABLE 15'!$A$1:$M$157</definedName>
    <definedName name="_xlnm.Print_Titles" localSheetId="0">'FY 2005 TABLE 15'!$1:$9</definedName>
  </definedNames>
  <calcPr fullCalcOnLoad="1"/>
</workbook>
</file>

<file path=xl/comments2.xml><?xml version="1.0" encoding="utf-8"?>
<comments xmlns="http://schemas.openxmlformats.org/spreadsheetml/2006/main">
  <authors>
    <author>Brian K. Logwood</author>
  </authors>
  <commentList>
    <comment ref="A8" authorId="0">
      <text>
        <r>
          <rPr>
            <b/>
            <u val="single"/>
            <sz val="11"/>
            <rFont val="Tahoma"/>
            <family val="2"/>
          </rPr>
          <t>TOTAL EXPENDITURES FOR OPERATIONS DEFINED AS:</t>
        </r>
        <r>
          <rPr>
            <b/>
            <sz val="11"/>
            <rFont val="Tahoma"/>
            <family val="2"/>
          </rPr>
          <t xml:space="preserve">   </t>
        </r>
        <r>
          <rPr>
            <sz val="11"/>
            <rFont val="Tahoma"/>
            <family val="2"/>
          </rPr>
          <t xml:space="preserve">
</t>
        </r>
        <r>
          <rPr>
            <sz val="8"/>
            <rFont val="Tahoma"/>
            <family val="2"/>
          </rPr>
          <t xml:space="preserve">
</t>
        </r>
        <r>
          <rPr>
            <sz val="11"/>
            <rFont val="Tahoma"/>
            <family val="2"/>
          </rPr>
          <t>From the Annual School Report Financial Section (ASRFIN) the sum of all expenditures in ASRFIN functions between 61100 and 69950; excluding functions 67100, 68900, and 69900;
ASRFIN Programs 1 through 7 only (exclude programs 8 and 9);
Exclude object code 8200, 8210, and 8220 from all functions; 
Exclude object code 8100 from the Facilities function only (functions 66100 through 66600);
Exclude object codes 8110 and 8120 from Technology (Activity 68800);
Exclude object code 8100 from Contingency Reserve (Activity 69800); and,
Exclude the following function-object combinations:
  - Function 67200 - Objection Code 9400
  - Function 67200 - Objection Code 9800
  - Function 67300 - Objection Code 9600
  - Function 67300 - Objection Code 9700</t>
        </r>
      </text>
    </comment>
    <comment ref="A14" authorId="0">
      <text>
        <r>
          <rPr>
            <b/>
            <u val="single"/>
            <sz val="11"/>
            <rFont val="Tahoma"/>
            <family val="2"/>
          </rPr>
          <t xml:space="preserve">Excludes the following revenue source codes: </t>
        </r>
        <r>
          <rPr>
            <b/>
            <sz val="11"/>
            <rFont val="Tahoma"/>
            <family val="2"/>
          </rPr>
          <t xml:space="preserve">
</t>
        </r>
        <r>
          <rPr>
            <sz val="11"/>
            <rFont val="Tahoma"/>
            <family val="2"/>
          </rPr>
          <t>At-Risk Four-Year Olds (240281)
Special Education Hospitals, Clinics and Detention Homes (240220)
State Sales Tax (240308 and 240312, which are included below)
Also excludes expenditures reported as Inter-Agency Fund Transfer - Transfer to Regional Program (Function 67300 - Object 9700).  This exclusion is based on these State funds being "passed-through" the fiscal agent's budget to a regional program.  This amount is also deducted from "Total Expenditures for Operations."</t>
        </r>
      </text>
    </comment>
    <comment ref="A30" authorId="0">
      <text>
        <r>
          <rPr>
            <b/>
            <u val="single"/>
            <sz val="11"/>
            <rFont val="Tahoma"/>
            <family val="2"/>
          </rPr>
          <t xml:space="preserve">Excludes the following federal revenue source codes:  </t>
        </r>
        <r>
          <rPr>
            <b/>
            <sz val="11"/>
            <rFont val="Tahoma"/>
            <family val="2"/>
          </rPr>
          <t xml:space="preserve">
</t>
        </r>
        <r>
          <rPr>
            <sz val="11"/>
            <rFont val="Tahoma"/>
            <family val="2"/>
          </rPr>
          <t xml:space="preserve">Special Education - Preschool (84173)
Even Start  - Title I, Part B (84213)
Head Start (93600)
</t>
        </r>
      </text>
    </comment>
  </commentList>
</comments>
</file>

<file path=xl/comments3.xml><?xml version="1.0" encoding="utf-8"?>
<comments xmlns="http://schemas.openxmlformats.org/spreadsheetml/2006/main">
  <authors>
    <author>Marcy Cotov</author>
    <author>Brian K. Logwood</author>
  </authors>
  <commentList>
    <comment ref="F8" authorId="0">
      <text>
        <r>
          <rPr>
            <sz val="11"/>
            <rFont val="Tahoma"/>
            <family val="2"/>
          </rPr>
          <t>Key in estimated data into yellow shaded cells only.  All other cells will calculate for you.</t>
        </r>
      </text>
    </comment>
    <comment ref="A14" authorId="1">
      <text>
        <r>
          <rPr>
            <b/>
            <u val="single"/>
            <sz val="11"/>
            <rFont val="Tahoma"/>
            <family val="2"/>
          </rPr>
          <t xml:space="preserve">Excludes the following revenue source codes: </t>
        </r>
        <r>
          <rPr>
            <b/>
            <sz val="11"/>
            <rFont val="Tahoma"/>
            <family val="2"/>
          </rPr>
          <t xml:space="preserve">
</t>
        </r>
        <r>
          <rPr>
            <sz val="11"/>
            <rFont val="Tahoma"/>
            <family val="2"/>
          </rPr>
          <t>At-Risk Four-Year Olds (240281)
Special Education Hospitals, Clinics and Detention Homes (240220)
State Sales Tax (240308 and 240312, which are included below)
Also excludes expenditures reported as Inter-Agency Fund Transfer - Transfer to Regional Program (Function 67300 - Object 9700).  This exclusion is based on these State funds being "passed-through" the fiscal agent's budget to a regional program.  This amount is also deducted from "Total Expenditures for Operations."</t>
        </r>
      </text>
    </comment>
    <comment ref="A8" authorId="1">
      <text>
        <r>
          <rPr>
            <b/>
            <u val="single"/>
            <sz val="11"/>
            <rFont val="Tahoma"/>
            <family val="2"/>
          </rPr>
          <t>TOTAL EXPENDITURES FOR OPERATIONS DEFINED AS:</t>
        </r>
        <r>
          <rPr>
            <b/>
            <sz val="11"/>
            <rFont val="Tahoma"/>
            <family val="2"/>
          </rPr>
          <t xml:space="preserve">   </t>
        </r>
        <r>
          <rPr>
            <sz val="11"/>
            <rFont val="Tahoma"/>
            <family val="2"/>
          </rPr>
          <t xml:space="preserve">
</t>
        </r>
        <r>
          <rPr>
            <sz val="8"/>
            <rFont val="Tahoma"/>
            <family val="2"/>
          </rPr>
          <t xml:space="preserve">
</t>
        </r>
        <r>
          <rPr>
            <sz val="11"/>
            <rFont val="Tahoma"/>
            <family val="2"/>
          </rPr>
          <t>From the Annual School Report Financial Section (ASRFIN) the sum of all expenditures in ASRFIN functions between 61100 and 69950; excluding functions 67100, 68900, and 69900;
ASRFIN Programs 1 through 7 only (exclude programs 8 and 9);
Exclude object code 8200, 8210, and 8220 from all functions; 
Exclude object code 8100 from the Facilities function only (functions 66100 through 66600);
Exclude object codes 8110 and 8120 from Technology (Activity 68800);
Exclude object code 8100 from Contingency Reserve (Activity 69800); and,
Exclude the following function-object combinations:
  - Function 67200 - Objection Code 9400
  - Function 67200 - Objection Code 9800
  - Function 67300 - Objection Code 9600
  - Function 67300 - Objection Code 9700</t>
        </r>
      </text>
    </comment>
    <comment ref="A30" authorId="1">
      <text>
        <r>
          <rPr>
            <b/>
            <u val="single"/>
            <sz val="11"/>
            <rFont val="Tahoma"/>
            <family val="2"/>
          </rPr>
          <t xml:space="preserve">Excludes the following federal revenue source codes:  </t>
        </r>
        <r>
          <rPr>
            <b/>
            <sz val="11"/>
            <rFont val="Tahoma"/>
            <family val="2"/>
          </rPr>
          <t xml:space="preserve">
</t>
        </r>
        <r>
          <rPr>
            <sz val="11"/>
            <rFont val="Tahoma"/>
            <family val="2"/>
          </rPr>
          <t xml:space="preserve">Special Education - Preschool (84173)
Even Start  - Title I, Part B (84213)
Head Start (93600)
</t>
        </r>
      </text>
    </comment>
  </commentList>
</comments>
</file>

<file path=xl/comments4.xml><?xml version="1.0" encoding="utf-8"?>
<comments xmlns="http://schemas.openxmlformats.org/spreadsheetml/2006/main">
  <authors>
    <author>Marcy Cotov</author>
    <author>Brian K. Logwood</author>
  </authors>
  <commentList>
    <comment ref="F8" authorId="0">
      <text>
        <r>
          <rPr>
            <sz val="11"/>
            <rFont val="Tahoma"/>
            <family val="2"/>
          </rPr>
          <t>Key in estimated data into yellow shaded cells only.  All other cells will calculate for you.</t>
        </r>
      </text>
    </comment>
    <comment ref="A14" authorId="1">
      <text>
        <r>
          <rPr>
            <b/>
            <u val="single"/>
            <sz val="11"/>
            <rFont val="Tahoma"/>
            <family val="2"/>
          </rPr>
          <t xml:space="preserve">Excludes the following revenue source codes: </t>
        </r>
        <r>
          <rPr>
            <b/>
            <sz val="11"/>
            <rFont val="Tahoma"/>
            <family val="2"/>
          </rPr>
          <t xml:space="preserve">
</t>
        </r>
        <r>
          <rPr>
            <sz val="11"/>
            <rFont val="Tahoma"/>
            <family val="2"/>
          </rPr>
          <t>At-Risk Four-Year Olds (240281)
Special Education Hospitals, Clinics and Detention Homes (240220)
State Sales Tax (240308 and 240312, which are included below)
Also excludes expenditures reported as Inter-Agency Fund Transfer - Transfer to Regional Program (Function 67300 - Object 9700).  This exclusion is based on these State funds being "passed-through" the fiscal agent's budget to a regional program.  This amount is also deducted from "Total Expenditures for Operations."</t>
        </r>
      </text>
    </comment>
    <comment ref="A8" authorId="1">
      <text>
        <r>
          <rPr>
            <b/>
            <u val="single"/>
            <sz val="11"/>
            <rFont val="Tahoma"/>
            <family val="2"/>
          </rPr>
          <t>TOTAL EXPENDITURES FOR OPERATIONS DEFINED AS:</t>
        </r>
        <r>
          <rPr>
            <b/>
            <sz val="11"/>
            <rFont val="Tahoma"/>
            <family val="2"/>
          </rPr>
          <t xml:space="preserve">   </t>
        </r>
        <r>
          <rPr>
            <sz val="11"/>
            <rFont val="Tahoma"/>
            <family val="2"/>
          </rPr>
          <t xml:space="preserve">
</t>
        </r>
        <r>
          <rPr>
            <sz val="8"/>
            <rFont val="Tahoma"/>
            <family val="2"/>
          </rPr>
          <t xml:space="preserve">
</t>
        </r>
        <r>
          <rPr>
            <sz val="11"/>
            <rFont val="Tahoma"/>
            <family val="2"/>
          </rPr>
          <t>From the Annual School Report Financial Section (ASRFIN) the sum of all expenditures in ASRFIN functions between 61100 and 69950; excluding functions 67100, 68900, and 69900;
ASRFIN Programs 1 through 7 only (exclude programs 8 and 9);
Exclude object code 8200, 8210, and 8220 from all functions; 
Exclude object code 8100 from the Facilities function only (functions 66100 through 66600);
Exclude object codes 8110 and 8120 from Technology (Activity 68800);
Exclude object code 8100 from Contingency Reserve (Activity 69800); and,
Exclude the following function-object combinations:
  - Function 67200 - Objection Code 9400
  - Function 67200 - Objection Code 9800
  - Function 67300 - Objection Code 9600
  - Function 67300 - Objection Code 9700</t>
        </r>
      </text>
    </comment>
    <comment ref="A30" authorId="1">
      <text>
        <r>
          <rPr>
            <b/>
            <u val="single"/>
            <sz val="11"/>
            <rFont val="Tahoma"/>
            <family val="2"/>
          </rPr>
          <t xml:space="preserve">Excludes the following federal revenue source codes:  </t>
        </r>
        <r>
          <rPr>
            <b/>
            <sz val="11"/>
            <rFont val="Tahoma"/>
            <family val="2"/>
          </rPr>
          <t xml:space="preserve">
</t>
        </r>
        <r>
          <rPr>
            <sz val="11"/>
            <rFont val="Tahoma"/>
            <family val="2"/>
          </rPr>
          <t xml:space="preserve">Special Education - Preschool (84173)
Even Start  - Title I, Part B (84213)
Head Start (93600)
</t>
        </r>
      </text>
    </comment>
  </commentList>
</comments>
</file>

<file path=xl/sharedStrings.xml><?xml version="1.0" encoding="utf-8"?>
<sst xmlns="http://schemas.openxmlformats.org/spreadsheetml/2006/main" count="706" uniqueCount="640">
  <si>
    <t>Div Num</t>
  </si>
  <si>
    <t>Division</t>
  </si>
  <si>
    <t>2b.  Plus the sum of all Beginning-Year Balances from State funds:</t>
  </si>
  <si>
    <t>2c.  Less the sum of all End-Of-Year Balances from State funds:</t>
  </si>
  <si>
    <t>2e.  Total State Expenditures for Operations:</t>
  </si>
  <si>
    <t>2f.  State Per Pupil Amount:</t>
  </si>
  <si>
    <t>3b.  State Sales Tax Per Pupil Amount</t>
  </si>
  <si>
    <t>4b.  Plus the sum of all Beginning-Year Balances from Federal funds:</t>
  </si>
  <si>
    <t>4c.  Less the sum of all End-Of-Year Balances from Federal funds:</t>
  </si>
  <si>
    <t>6a.  Total Expenditures for Operations:</t>
  </si>
  <si>
    <t>6b.  Total Per Pupil Amount:</t>
  </si>
  <si>
    <t>&lt;SELECT DIVISION&gt;</t>
  </si>
  <si>
    <t>001 - ACCOMACK</t>
  </si>
  <si>
    <t>002 - ALBEMARLE</t>
  </si>
  <si>
    <t>004 - AMELIA</t>
  </si>
  <si>
    <t>005 - AMHERST</t>
  </si>
  <si>
    <t>006 - APPOMATTOX</t>
  </si>
  <si>
    <t>007 - ARLINGTON</t>
  </si>
  <si>
    <t>008 - AUGUSTA</t>
  </si>
  <si>
    <t>009 - BATH</t>
  </si>
  <si>
    <t>010 - BEDFORD</t>
  </si>
  <si>
    <t>011 - BLAND</t>
  </si>
  <si>
    <t>012 - BOTETOURT</t>
  </si>
  <si>
    <t>013 - BRUNSWICK</t>
  </si>
  <si>
    <t>014 - BUCHANAN</t>
  </si>
  <si>
    <t>015 - BUCKINGHAM</t>
  </si>
  <si>
    <t>016 - CAMPBELL</t>
  </si>
  <si>
    <t>017 - CAROLINE</t>
  </si>
  <si>
    <t>018 - CARROLL</t>
  </si>
  <si>
    <t>019 - CHARLES CITY COUNTY</t>
  </si>
  <si>
    <t>020 - CHARLOTTE</t>
  </si>
  <si>
    <t>021 - CHESTERFIELD</t>
  </si>
  <si>
    <t>022 - CLARKE</t>
  </si>
  <si>
    <t>023 - CRAIG</t>
  </si>
  <si>
    <t>024 - CULPEPER</t>
  </si>
  <si>
    <t>025 - CUMBERLAND</t>
  </si>
  <si>
    <t>026 - DICKENSON</t>
  </si>
  <si>
    <t>027 - DINWIDDIE</t>
  </si>
  <si>
    <t>028 - ESSEX</t>
  </si>
  <si>
    <t>029 - FAIRFAX</t>
  </si>
  <si>
    <t>030 - FAUQUIER</t>
  </si>
  <si>
    <t>031 - FLOYD</t>
  </si>
  <si>
    <t>032 - FLUVANNA</t>
  </si>
  <si>
    <t>033 - FRANKLIN</t>
  </si>
  <si>
    <t>034 - FREDERICK</t>
  </si>
  <si>
    <t>035 - GILES</t>
  </si>
  <si>
    <t>036 - GLOUCESTER</t>
  </si>
  <si>
    <t>037 - GOOCHLAND</t>
  </si>
  <si>
    <t>038 - GRAYSON</t>
  </si>
  <si>
    <t>039 - GREENE</t>
  </si>
  <si>
    <t>040 - GREENSVILLE</t>
  </si>
  <si>
    <t>041 - HALIFAX</t>
  </si>
  <si>
    <t>042 - HANOVER</t>
  </si>
  <si>
    <t>043 - HENRICO</t>
  </si>
  <si>
    <t>044 - HENRY</t>
  </si>
  <si>
    <t>045 - HIGHLAND</t>
  </si>
  <si>
    <t>046 - ISLE OF WIGHT</t>
  </si>
  <si>
    <t>048 - KING GEORGE</t>
  </si>
  <si>
    <t>049 - KING AND QUEEN</t>
  </si>
  <si>
    <t>050 - KING WILLIAM</t>
  </si>
  <si>
    <t>051 - LANCASTER</t>
  </si>
  <si>
    <t>052 - LEE</t>
  </si>
  <si>
    <t>053 - LOUDOUN</t>
  </si>
  <si>
    <t>054 - LOUISA</t>
  </si>
  <si>
    <t>055 - LUNENBURG</t>
  </si>
  <si>
    <t>056 - MADISON</t>
  </si>
  <si>
    <t>057 - MATHEWS</t>
  </si>
  <si>
    <t>058 - MECKLENBURG</t>
  </si>
  <si>
    <t>059 - MIDDLESEX</t>
  </si>
  <si>
    <t>060 - MONTGOMERY</t>
  </si>
  <si>
    <t>062 - NELSON</t>
  </si>
  <si>
    <t>063 - NEW KENT</t>
  </si>
  <si>
    <t>065 - NORTHAMPTON</t>
  </si>
  <si>
    <t>066 - NORTHUMBERLAND</t>
  </si>
  <si>
    <t>067 - NOTTOWAY</t>
  </si>
  <si>
    <t>068 - ORANGE</t>
  </si>
  <si>
    <t>069 - PAGE</t>
  </si>
  <si>
    <t>070 - PATRICK</t>
  </si>
  <si>
    <t>071 - PITTSYLVANIA</t>
  </si>
  <si>
    <t>072 - POWHATAN</t>
  </si>
  <si>
    <t>073 - PRINCE EDWARD</t>
  </si>
  <si>
    <t>074 - PRINCE GEORGE</t>
  </si>
  <si>
    <t>075 - PRINCE WILLIAM</t>
  </si>
  <si>
    <t>077 - PULASKI</t>
  </si>
  <si>
    <t>078 - RAPPAHANNOCK</t>
  </si>
  <si>
    <t>079 - RICHMOND</t>
  </si>
  <si>
    <t>080 - ROANOKE</t>
  </si>
  <si>
    <t>081 - ROCKBRIDGE</t>
  </si>
  <si>
    <t>082 - ROCKINGHAM</t>
  </si>
  <si>
    <t>083 - RUSSELL</t>
  </si>
  <si>
    <t>084 - SCOTT</t>
  </si>
  <si>
    <t>085 - SHENANDOAH</t>
  </si>
  <si>
    <t>086 - SMYTH</t>
  </si>
  <si>
    <t>087 - SOUTHAMPTON</t>
  </si>
  <si>
    <t>088 - SPOTSYLVANIA</t>
  </si>
  <si>
    <t>089 - STAFFORD</t>
  </si>
  <si>
    <t>090 - SURRY</t>
  </si>
  <si>
    <t>091 - SUSSEX</t>
  </si>
  <si>
    <t>092 - TAZEWELL</t>
  </si>
  <si>
    <t>093 - WARREN</t>
  </si>
  <si>
    <t>094 - WASHINGTON</t>
  </si>
  <si>
    <t>095 - WESTMORELAND</t>
  </si>
  <si>
    <t>096 - WISE</t>
  </si>
  <si>
    <t>097 - WYTHE</t>
  </si>
  <si>
    <t>098 - YORK</t>
  </si>
  <si>
    <t>101 - ALEXANDRIA CITY</t>
  </si>
  <si>
    <t>102 - BRISTOL CITY</t>
  </si>
  <si>
    <t>103 - BUENA VISTA CITY</t>
  </si>
  <si>
    <t>104 - CHARLOTTESVILLE CITY</t>
  </si>
  <si>
    <t>106 - COLONIAL HEIGHTS CITY</t>
  </si>
  <si>
    <t>107 - COVINGTON CITY</t>
  </si>
  <si>
    <t>108 - DANVILLE CITY</t>
  </si>
  <si>
    <t>109 - FALLS CHURCH CITY</t>
  </si>
  <si>
    <t>110 - FREDERICKSBURG CITY</t>
  </si>
  <si>
    <t>111 - GALAX CITY</t>
  </si>
  <si>
    <t>112 - HAMPTON CITY</t>
  </si>
  <si>
    <t>113 - HARRISONBURG CITY</t>
  </si>
  <si>
    <t>114 - HOPEWELL CITY</t>
  </si>
  <si>
    <t>115 - LYNCHBURG CITY</t>
  </si>
  <si>
    <t>116 - MARTINSVILLE CITY</t>
  </si>
  <si>
    <t>117 - NEWPORT NEWS CITY</t>
  </si>
  <si>
    <t>118 - NORFOLK CITY</t>
  </si>
  <si>
    <t>119 - NORTON CITY</t>
  </si>
  <si>
    <t>120 - PETERSBURG CITY</t>
  </si>
  <si>
    <t>121 - PORTSMOUTH CITY</t>
  </si>
  <si>
    <t>122 - RADFORD CITY</t>
  </si>
  <si>
    <t>123 - RICHMOND CITY</t>
  </si>
  <si>
    <t>124 - ROANOKE CITY</t>
  </si>
  <si>
    <t>126 - STAUNTON CITY</t>
  </si>
  <si>
    <t>127 - SUFFOLK CITY</t>
  </si>
  <si>
    <t>128 - VIRGINIA BEACH CITY</t>
  </si>
  <si>
    <t>130 - WAYNESBORO CITY</t>
  </si>
  <si>
    <t>132 - WINCHESTER CITY</t>
  </si>
  <si>
    <t>134 - FAIRFAX CITY</t>
  </si>
  <si>
    <t>135 - FRANKLIN CITY</t>
  </si>
  <si>
    <t>136 - CHESAPEAKE CITY</t>
  </si>
  <si>
    <t>137 - LEXINGTON CITY</t>
  </si>
  <si>
    <t>139 - SALEM CITY</t>
  </si>
  <si>
    <t>142 - POQUOSON CITY</t>
  </si>
  <si>
    <t>143 - MANASSAS CITY</t>
  </si>
  <si>
    <t>144 - MANASSAS PARK CITY</t>
  </si>
  <si>
    <t>202 - COLONIAL BEACH</t>
  </si>
  <si>
    <t>207 - WEST POINT</t>
  </si>
  <si>
    <t>SUPERINTENDENT'S ANNUAL REPORT FOR VIRGINIA</t>
  </si>
  <si>
    <t>5b.  Local Per Pupil Amount:</t>
  </si>
  <si>
    <t>End-of-Year</t>
  </si>
  <si>
    <t>ADM for</t>
  </si>
  <si>
    <t>State Retail Sales</t>
  </si>
  <si>
    <t>Determining</t>
  </si>
  <si>
    <t>State</t>
  </si>
  <si>
    <t>Total</t>
  </si>
  <si>
    <t>Cost Per</t>
  </si>
  <si>
    <t>Per</t>
  </si>
  <si>
    <t>Expenditures for</t>
  </si>
  <si>
    <t>Per Pupil</t>
  </si>
  <si>
    <t>Amount</t>
  </si>
  <si>
    <t>Pupil</t>
  </si>
  <si>
    <t>COUNTIES</t>
  </si>
  <si>
    <t>Albemarle</t>
  </si>
  <si>
    <t>Amelia</t>
  </si>
  <si>
    <t>Amherst</t>
  </si>
  <si>
    <t>Appomattox</t>
  </si>
  <si>
    <t>Arlington</t>
  </si>
  <si>
    <t>Augusta</t>
  </si>
  <si>
    <t>Bath</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</si>
  <si>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</si>
  <si>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</si>
  <si>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</si>
  <si>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</si>
  <si>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</si>
  <si>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</si>
  <si>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</si>
  <si>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</si>
  <si>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</si>
  <si>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</si>
  <si>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</si>
  <si>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</si>
  <si>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</si>
  <si>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</si>
  <si>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</si>
  <si>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</si>
  <si>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</si>
  <si>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</si>
  <si>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Fauquier</t>
  </si>
  <si>
    <t>Floyd</t>
  </si>
  <si>
    <t>Fluvanna</t>
  </si>
  <si>
    <t>Franklin</t>
  </si>
  <si>
    <t>Frederick</t>
  </si>
  <si>
    <t>Giles</t>
  </si>
  <si>
    <t>Gloucester</t>
  </si>
  <si>
    <t>Goochland</t>
  </si>
  <si>
    <t>Grayson</t>
  </si>
  <si>
    <t>Greene</t>
  </si>
  <si>
    <t>Halifax</t>
  </si>
  <si>
    <t>Hanover</t>
  </si>
  <si>
    <t>Henrico</t>
  </si>
  <si>
    <t>Henry</t>
  </si>
  <si>
    <t>Highland</t>
  </si>
  <si>
    <t>Isle Of Wight</t>
  </si>
  <si>
    <t>King &amp; Queen</t>
  </si>
  <si>
    <t>King George</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</si>
  <si>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</si>
  <si>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</si>
  <si>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</si>
  <si>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</si>
  <si>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</si>
  <si>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</si>
  <si>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</si>
  <si>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</si>
  <si>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</si>
  <si>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</si>
  <si>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</si>
  <si>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</si>
  <si>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</si>
  <si>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</si>
  <si>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</si>
  <si>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</si>
  <si>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</si>
  <si>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</si>
  <si>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</si>
  <si>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</si>
  <si>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</si>
  <si>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</si>
  <si>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</si>
  <si>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</si>
  <si>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</si>
  <si>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</si>
  <si>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</si>
  <si>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</si>
  <si>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</si>
  <si>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</si>
  <si>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</si>
  <si>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</si>
  <si>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</si>
  <si>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</si>
  <si>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</si>
  <si>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</si>
  <si>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</si>
  <si>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</si>
  <si>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</si>
  <si>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</si>
  <si>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</si>
  <si>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</si>
  <si>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</si>
  <si>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</si>
  <si>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</si>
  <si>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</si>
  <si>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CITIES</t>
  </si>
  <si>
    <t>Alexandria</t>
  </si>
  <si>
    <t>Bristol</t>
  </si>
  <si>
    <t>Buena Vista</t>
  </si>
  <si>
    <t>Charlottesville</t>
  </si>
  <si>
    <t>Chesapeake</t>
  </si>
  <si>
    <t>Covington</t>
  </si>
  <si>
    <t>Danville</t>
  </si>
  <si>
    <t>Falls Church</t>
  </si>
  <si>
    <t>Galax</t>
  </si>
  <si>
    <t>Hampton</t>
  </si>
  <si>
    <t>Harrisonburg</t>
  </si>
  <si>
    <t>Hopewell</t>
  </si>
  <si>
    <t>Lexington</t>
  </si>
  <si>
    <t>Lynchburg</t>
  </si>
  <si>
    <t>Manassas</t>
  </si>
  <si>
    <t>Manassas Park</t>
  </si>
  <si>
    <t>Martinsville</t>
  </si>
  <si>
    <t>Newport News</t>
  </si>
  <si>
    <t>Norfolk</t>
  </si>
  <si>
    <t>Norton</t>
  </si>
  <si>
    <t>Petersburg</t>
  </si>
  <si>
    <t>Poquoson</t>
  </si>
  <si>
    <t>Portsmouth</t>
  </si>
  <si>
    <t>Radford</t>
  </si>
  <si>
    <t>Salem</t>
  </si>
  <si>
    <t>Staunton</t>
  </si>
  <si>
    <t>Suffolk</t>
  </si>
  <si>
    <t>Waynesboro</t>
  </si>
  <si>
    <t>Winchester</t>
  </si>
  <si>
    <t>TOWNS</t>
  </si>
  <si>
    <t>Colonial Beach</t>
  </si>
  <si>
    <t>West Point</t>
  </si>
  <si>
    <t>Colonial Heights</t>
  </si>
  <si>
    <t>Fredericksburg</t>
  </si>
  <si>
    <t>Virginia Beach</t>
  </si>
  <si>
    <t>003 - ALLEGHANY</t>
  </si>
  <si>
    <t xml:space="preserve">Table 15 of the Superintendent's Annual Report for Virginia </t>
  </si>
  <si>
    <t>Accomack</t>
  </si>
  <si>
    <t>EOY ADM</t>
  </si>
  <si>
    <t>5a.  Total Local Expenditures for Operations</t>
  </si>
  <si>
    <t>7.  End-Of-Year Average Daily Membership</t>
  </si>
  <si>
    <t>Alleghany</t>
  </si>
  <si>
    <t>School Division</t>
  </si>
  <si>
    <t>TABLE 15 METHODOLOGY - FISCAL YEAR 2006 ESTIMATE</t>
  </si>
  <si>
    <t>DIV NUM</t>
  </si>
  <si>
    <t>DIVISION</t>
  </si>
  <si>
    <t>State Expenditures</t>
  </si>
  <si>
    <t>State PPA</t>
  </si>
  <si>
    <t>Federal Expenditures</t>
  </si>
  <si>
    <t>Federal PPA</t>
  </si>
  <si>
    <t>Local Expenditures</t>
  </si>
  <si>
    <t>Local PPA</t>
  </si>
  <si>
    <t>Total Expenditures</t>
  </si>
  <si>
    <t>Total PPA</t>
  </si>
  <si>
    <t>ACCOMACK</t>
  </si>
  <si>
    <t>ALBEMARLE</t>
  </si>
  <si>
    <t>ALLEGHANY</t>
  </si>
  <si>
    <t>AMELIA</t>
  </si>
  <si>
    <t>AMHERST</t>
  </si>
  <si>
    <t>APPOMATTOX</t>
  </si>
  <si>
    <t>ARLINGTON</t>
  </si>
  <si>
    <t>AUGUSTA</t>
  </si>
  <si>
    <t>BATH</t>
  </si>
  <si>
    <t>BEDFORD</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</si>
  <si>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</si>
  <si>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</si>
  <si>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</si>
  <si>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</si>
  <si>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</si>
  <si>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</si>
  <si>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</si>
  <si>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</si>
  <si>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</si>
  <si>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</si>
  <si>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</si>
  <si>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</si>
  <si>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</si>
  <si>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</si>
  <si>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</si>
  <si>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</si>
  <si>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</si>
  <si>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</si>
  <si>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FAIRFAX</t>
  </si>
  <si>
    <t>FAUQUIER</t>
  </si>
  <si>
    <t>FLOYD</t>
  </si>
  <si>
    <t>FLUVANNA</t>
  </si>
  <si>
    <t>FRANKLIN</t>
  </si>
  <si>
    <t>FREDERICK</t>
  </si>
  <si>
    <t>GILES</t>
  </si>
  <si>
    <t>GLOUCESTER</t>
  </si>
  <si>
    <t>GOOCHLAND</t>
  </si>
  <si>
    <t>GRAYSON</t>
  </si>
  <si>
    <t>GREENE</t>
  </si>
  <si>
    <t>GREENSVILLE</t>
  </si>
  <si>
    <t>HALIFAX</t>
  </si>
  <si>
    <t>HANOVER</t>
  </si>
  <si>
    <t>HENRICO</t>
  </si>
  <si>
    <t>HENRY</t>
  </si>
  <si>
    <t>HIGHLAND</t>
  </si>
  <si>
    <t>ISLE OF WIGHT</t>
  </si>
  <si>
    <t>JAMES CITY</t>
  </si>
  <si>
    <t>KING GEORGE</t>
  </si>
  <si>
    <t>KING QUEEN</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</si>
  <si>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</si>
  <si>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</si>
  <si>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</si>
  <si>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</si>
  <si>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</si>
  <si>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</si>
  <si>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</si>
  <si>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</si>
  <si>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</si>
  <si>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</si>
  <si>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</si>
  <si>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</si>
  <si>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</si>
  <si>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</si>
  <si>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</si>
  <si>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</si>
  <si>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</si>
  <si>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</si>
  <si>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</si>
  <si>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</si>
  <si>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</si>
  <si>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</si>
  <si>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</si>
  <si>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</si>
  <si>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</si>
  <si>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</si>
  <si>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</si>
  <si>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</si>
  <si>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</si>
  <si>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</si>
  <si>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</si>
  <si>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</si>
  <si>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</si>
  <si>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</si>
  <si>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</si>
  <si>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</si>
  <si>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</si>
  <si>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</si>
  <si>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</si>
  <si>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</si>
  <si>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</si>
  <si>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</si>
  <si>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</si>
  <si>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</si>
  <si>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</si>
  <si>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</si>
  <si>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ALEXANDRIA</t>
  </si>
  <si>
    <t>BRISTOL</t>
  </si>
  <si>
    <t>BUENA VISTA</t>
  </si>
  <si>
    <t>CHARLOTTESVILLE</t>
  </si>
  <si>
    <t>COLONIAL HEIGHTS</t>
  </si>
  <si>
    <t>COVINGTON</t>
  </si>
  <si>
    <t>DANVILLE</t>
  </si>
  <si>
    <t>FALLS CHURCH</t>
  </si>
  <si>
    <t>FREDERICKSBURG</t>
  </si>
  <si>
    <t>GALAX</t>
  </si>
  <si>
    <t>HAMPTON</t>
  </si>
  <si>
    <t>HARRISONBURG</t>
  </si>
  <si>
    <t>HOPEWELL</t>
  </si>
  <si>
    <t>LYNCHBURG</t>
  </si>
  <si>
    <t>MARTINSVILLE</t>
  </si>
  <si>
    <t>NEWPORT NEWS</t>
  </si>
  <si>
    <t>NORFOLK</t>
  </si>
  <si>
    <t>NORTON</t>
  </si>
  <si>
    <t>PETERSBURG</t>
  </si>
  <si>
    <t>PORTSMOUTH</t>
  </si>
  <si>
    <t>RADFORD</t>
  </si>
  <si>
    <t>RICHMOND CITY</t>
  </si>
  <si>
    <t>ROANOKE CITY</t>
  </si>
  <si>
    <t>STAUNTON</t>
  </si>
  <si>
    <t>SUFFOLK</t>
  </si>
  <si>
    <t>VIRGINIA BEACH</t>
  </si>
  <si>
    <t>WAYNESBORO</t>
  </si>
  <si>
    <t>WILLIAMSBURG</t>
  </si>
  <si>
    <t>WINCHESTER</t>
  </si>
  <si>
    <t>FAIRFAX CITY</t>
  </si>
  <si>
    <t>FRANKLIN CITY</t>
  </si>
  <si>
    <t>CHESAPEAKE CITY</t>
  </si>
  <si>
    <t>LEXINGTON</t>
  </si>
  <si>
    <t>EMPORIA</t>
  </si>
  <si>
    <t>SALEM</t>
  </si>
  <si>
    <t>BEDFORD CITY</t>
  </si>
  <si>
    <t>POQUOSON</t>
  </si>
  <si>
    <t>MANASSAS CITY</t>
  </si>
  <si>
    <t>MANASSAS PARK</t>
  </si>
  <si>
    <t>COLONIAL BEACH</t>
  </si>
  <si>
    <t>WEST POINT</t>
  </si>
  <si>
    <t>047 - JAMES CITY</t>
  </si>
  <si>
    <t>138 - EMPORIA CITY</t>
  </si>
  <si>
    <t>140 - BEFORD CITY</t>
  </si>
  <si>
    <t>1c.  Total expenditures for operations:</t>
  </si>
  <si>
    <t>4f.  Federal Per Pupil Amount:</t>
  </si>
  <si>
    <t>4e.  Total Federal Expenditures for Operations:</t>
  </si>
  <si>
    <r>
      <t xml:space="preserve">2a.  Less State Revenues: </t>
    </r>
    <r>
      <rPr>
        <sz val="12"/>
        <color indexed="10"/>
        <rFont val="Arial"/>
        <family val="2"/>
      </rPr>
      <t xml:space="preserve"> </t>
    </r>
    <r>
      <rPr>
        <sz val="10"/>
        <color indexed="10"/>
        <rFont val="Arial"/>
        <family val="2"/>
      </rPr>
      <t>(see cell comment)</t>
    </r>
  </si>
  <si>
    <r>
      <t xml:space="preserve">4a.  Less Federal Revenues:  </t>
    </r>
    <r>
      <rPr>
        <sz val="10"/>
        <color indexed="10"/>
        <rFont val="Arial"/>
        <family val="2"/>
      </rPr>
      <t>(see cell comment)</t>
    </r>
  </si>
  <si>
    <r>
      <t xml:space="preserve">1a.  Expenditures for operations: </t>
    </r>
    <r>
      <rPr>
        <sz val="12"/>
        <color indexed="10"/>
        <rFont val="Arial"/>
        <family val="2"/>
      </rPr>
      <t xml:space="preserve"> </t>
    </r>
    <r>
      <rPr>
        <sz val="10"/>
        <color indexed="10"/>
        <rFont val="Arial"/>
        <family val="2"/>
      </rPr>
      <t>(see cell comment)</t>
    </r>
  </si>
  <si>
    <r>
      <t>1</t>
    </r>
    <r>
      <rPr>
        <sz val="10"/>
        <rFont val="Arial"/>
        <family val="2"/>
      </rPr>
      <t xml:space="preserve">  Operations include regular day school, school food services, summer school, adult education, and other education, but do not include pre-kindergarten, non-regular day school programs, non-local education agency (LEA) programs, debt service, or capital outlay additions.  Non-LEA programs include expenditures made by a school division for state-operated education programs (in hospitals, clinics, and detention homes) that are located within the school division and reimbursed with state funds.</t>
    </r>
  </si>
  <si>
    <r>
      <t xml:space="preserve">Sources of Financial Support for Expenditures, Total Expenditures for Operations </t>
    </r>
    <r>
      <rPr>
        <b/>
        <vertAlign val="superscript"/>
        <sz val="9"/>
        <rFont val="Arial"/>
        <family val="2"/>
      </rPr>
      <t xml:space="preserve">1 </t>
    </r>
    <r>
      <rPr>
        <b/>
        <sz val="9"/>
        <rFont val="Arial"/>
        <family val="2"/>
      </rPr>
      <t>and Total Per Pupil Expenditures for Operations</t>
    </r>
  </si>
  <si>
    <t>TABLE 15 METHODOLOGY - FISCAL YEAR 2005</t>
  </si>
  <si>
    <t>TABLE 15 METHODOLOGY - FISCAL YEAR 2007 ESTIMATE</t>
  </si>
  <si>
    <t>131 - WILLIAMSBURG CITY</t>
  </si>
  <si>
    <t>Fiscal Year 2005</t>
  </si>
  <si>
    <t>Div</t>
  </si>
  <si>
    <t>State Rev</t>
  </si>
  <si>
    <t>S - BOY</t>
  </si>
  <si>
    <t>S - EOY</t>
  </si>
  <si>
    <t>S - Capital</t>
  </si>
  <si>
    <t>Exp Deduct</t>
  </si>
  <si>
    <t>Total State</t>
  </si>
  <si>
    <t>Sales Tax</t>
  </si>
  <si>
    <t>Federal</t>
  </si>
  <si>
    <t>F - BOY</t>
  </si>
  <si>
    <t>F - EOY</t>
  </si>
  <si>
    <t>F - Capital</t>
  </si>
  <si>
    <t>Total Federal</t>
  </si>
  <si>
    <t>Local</t>
  </si>
  <si>
    <t>Local Tuition Deduct</t>
  </si>
  <si>
    <t>Expenditures</t>
  </si>
  <si>
    <t xml:space="preserve">Grand </t>
  </si>
  <si>
    <t>Sales Tax FY 2006</t>
  </si>
  <si>
    <t>Sales Tax FY 2007</t>
  </si>
  <si>
    <t>Check T-15 State</t>
  </si>
  <si>
    <t>Check T-15 PPA State</t>
  </si>
  <si>
    <t>Check T-15 Federal</t>
  </si>
  <si>
    <t>Check T-15 PPA Federal</t>
  </si>
  <si>
    <t>Check T-15 Local</t>
  </si>
  <si>
    <t>Check T-15 PPA Local</t>
  </si>
  <si>
    <t>Check T-15 Total</t>
  </si>
  <si>
    <t>Check T-15 PPA Total</t>
  </si>
  <si>
    <t xml:space="preserve"> ACCOMACK</t>
  </si>
  <si>
    <t xml:space="preserve"> ALBEMARLE</t>
  </si>
  <si>
    <t xml:space="preserve"> ALLEGHANY</t>
  </si>
  <si>
    <t xml:space="preserve"> AMELIA</t>
  </si>
  <si>
    <t xml:space="preserve"> AMHERST</t>
  </si>
  <si>
    <t xml:space="preserve"> APPOMATTOX</t>
  </si>
  <si>
    <t xml:space="preserve"> ARLINGTON</t>
  </si>
  <si>
    <t xml:space="preserve"> AUGUSTA</t>
  </si>
  <si>
    <t xml:space="preserve"> BATH</t>
  </si>
  <si>
    <t xml:space="preserve"> BEDFORD</t>
  </si>
  <si>
    <t xml:space="preserve"> BLAND</t>
  </si>
  <si>
    <t xml:space="preserve"> BOTETOURT</t>
  </si>
  <si>
    <t xml:space="preserve"> BRUNSWICK</t>
  </si>
  <si>
    <t xml:space="preserve"> BUCHANAN</t>
  </si>
  <si>
    <t xml:space="preserve"> BUCKINGHAM</t>
  </si>
  <si>
    <t xml:space="preserve"> CAMPBELL</t>
  </si>
  <si>
    <t xml:space="preserve"> CAROLINE</t>
  </si>
  <si>
    <t xml:space="preserve"> CARROLL</t>
  </si>
  <si>
    <t xml:space="preserve"> CHARLES CITY COUNTY</t>
  </si>
  <si>
    <t xml:space="preserve"> CHARLOTTE</t>
  </si>
  <si>
    <t xml:space="preserve"> CHESTERFIELD</t>
  </si>
  <si>
    <t xml:space="preserve"> CLARKE</t>
  </si>
  <si>
    <t xml:space="preserve"> CRAIG</t>
  </si>
  <si>
    <t xml:space="preserve"> CULPEPER</t>
  </si>
  <si>
    <t xml:space="preserve"> CUMBERLAND</t>
  </si>
  <si>
    <t xml:space="preserve"> DICKENSON</t>
  </si>
  <si>
    <t xml:space="preserve"> DINWIDDIE</t>
  </si>
  <si>
    <t xml:space="preserve"> ESSEX</t>
  </si>
  <si>
    <t xml:space="preserve"> FAIRFAX</t>
  </si>
  <si>
    <t xml:space="preserve"> FAUQUIER</t>
  </si>
  <si>
    <t xml:space="preserve"> FLOYD</t>
  </si>
  <si>
    <t xml:space="preserve"> FLUVANNA</t>
  </si>
  <si>
    <t xml:space="preserve"> FRANKLIN</t>
  </si>
  <si>
    <t xml:space="preserve"> FREDERICK</t>
  </si>
  <si>
    <t xml:space="preserve"> GILES</t>
  </si>
  <si>
    <t xml:space="preserve"> GLOUCESTER</t>
  </si>
  <si>
    <t xml:space="preserve"> GOOCHLAND</t>
  </si>
  <si>
    <t xml:space="preserve"> GRAYSON</t>
  </si>
  <si>
    <t xml:space="preserve"> GREENE</t>
  </si>
  <si>
    <t xml:space="preserve"> GREENSVILLE</t>
  </si>
  <si>
    <t xml:space="preserve"> HALIFAX</t>
  </si>
  <si>
    <t xml:space="preserve"> HANOVER</t>
  </si>
  <si>
    <t xml:space="preserve"> HENRICO</t>
  </si>
  <si>
    <t xml:space="preserve"> HENRY</t>
  </si>
  <si>
    <t xml:space="preserve"> HIGHLAND</t>
  </si>
  <si>
    <t xml:space="preserve"> ISLE OF WIGHT</t>
  </si>
  <si>
    <t xml:space="preserve"> JAMES CITY</t>
  </si>
  <si>
    <t xml:space="preserve"> KING GEORGE</t>
  </si>
  <si>
    <t xml:space="preserve"> KING AND QUEEN</t>
  </si>
  <si>
    <t xml:space="preserve"> KING WILLIAM</t>
  </si>
  <si>
    <t xml:space="preserve"> LANCASTER</t>
  </si>
  <si>
    <t xml:space="preserve"> LEE</t>
  </si>
  <si>
    <t xml:space="preserve"> LOUDOUN</t>
  </si>
  <si>
    <t xml:space="preserve"> LOUISA</t>
  </si>
  <si>
    <t xml:space="preserve"> LUNENBURG</t>
  </si>
  <si>
    <t xml:space="preserve"> MADISON</t>
  </si>
  <si>
    <t xml:space="preserve"> MATHEWS</t>
  </si>
  <si>
    <t xml:space="preserve"> MECKLENBURG</t>
  </si>
  <si>
    <t xml:space="preserve"> MIDDLESEX</t>
  </si>
  <si>
    <t xml:space="preserve"> MONTGOMERY</t>
  </si>
  <si>
    <t xml:space="preserve"> NELSON</t>
  </si>
  <si>
    <t xml:space="preserve"> NEW KENT</t>
  </si>
  <si>
    <t xml:space="preserve"> NORTHAMPTON</t>
  </si>
  <si>
    <t xml:space="preserve"> NORTHUMBERLAND</t>
  </si>
  <si>
    <t xml:space="preserve"> NOTTOWAY</t>
  </si>
  <si>
    <t xml:space="preserve"> ORANGE</t>
  </si>
  <si>
    <t xml:space="preserve"> PAGE</t>
  </si>
  <si>
    <t xml:space="preserve"> PATRICK</t>
  </si>
  <si>
    <t xml:space="preserve"> PITTSYLVANIA</t>
  </si>
  <si>
    <t xml:space="preserve"> POWHATAN</t>
  </si>
  <si>
    <t xml:space="preserve"> PRINCE EDWARD</t>
  </si>
  <si>
    <t xml:space="preserve"> PRINCE GEORGE</t>
  </si>
  <si>
    <t xml:space="preserve"> PRINCE WILLIAM</t>
  </si>
  <si>
    <t xml:space="preserve"> PULASKI</t>
  </si>
  <si>
    <t xml:space="preserve"> RAPPAHANNOCK</t>
  </si>
  <si>
    <t xml:space="preserve"> RICHMOND</t>
  </si>
  <si>
    <t xml:space="preserve"> ROANOKE</t>
  </si>
  <si>
    <t xml:space="preserve"> ROCKBRIDGE</t>
  </si>
  <si>
    <t xml:space="preserve"> ROCKINGHAM</t>
  </si>
  <si>
    <t xml:space="preserve"> RUSSELL</t>
  </si>
  <si>
    <t xml:space="preserve"> SCOTT</t>
  </si>
  <si>
    <t xml:space="preserve"> SHENANDOAH</t>
  </si>
  <si>
    <t xml:space="preserve"> SMYTH</t>
  </si>
  <si>
    <t xml:space="preserve"> SOUTHAMPTON</t>
  </si>
  <si>
    <t xml:space="preserve"> SPOTSYLVANIA</t>
  </si>
  <si>
    <t xml:space="preserve"> STAFFORD</t>
  </si>
  <si>
    <t xml:space="preserve"> SURRY</t>
  </si>
  <si>
    <t xml:space="preserve"> SUSSEX</t>
  </si>
  <si>
    <t xml:space="preserve"> TAZEWELL</t>
  </si>
  <si>
    <t xml:space="preserve"> WARREN</t>
  </si>
  <si>
    <t xml:space="preserve"> WASHINGTON</t>
  </si>
  <si>
    <t xml:space="preserve"> WESTMORELAND</t>
  </si>
  <si>
    <t xml:space="preserve"> WISE</t>
  </si>
  <si>
    <t xml:space="preserve"> WYTHE</t>
  </si>
  <si>
    <t xml:space="preserve"> YORK</t>
  </si>
  <si>
    <t xml:space="preserve"> ALEXANDRIA CITY</t>
  </si>
  <si>
    <t xml:space="preserve"> BRISTOL CITY</t>
  </si>
  <si>
    <t xml:space="preserve"> BUENA VISTA CITY</t>
  </si>
  <si>
    <t xml:space="preserve"> CHARLOTTESVILLE CITY</t>
  </si>
  <si>
    <t xml:space="preserve"> COLONIAL HEIGHTS CITY</t>
  </si>
  <si>
    <t xml:space="preserve"> COVINGTON CITY</t>
  </si>
  <si>
    <t xml:space="preserve"> DANVILLE CITY</t>
  </si>
  <si>
    <t xml:space="preserve"> FALLS CHURCH CITY</t>
  </si>
  <si>
    <t xml:space="preserve"> FREDERICKSBURG CITY</t>
  </si>
  <si>
    <t xml:space="preserve"> GALAX CITY</t>
  </si>
  <si>
    <t xml:space="preserve"> HAMPTON CITY</t>
  </si>
  <si>
    <t xml:space="preserve"> HARRISONBURG CITY</t>
  </si>
  <si>
    <t xml:space="preserve"> HOPEWELL CITY</t>
  </si>
  <si>
    <t xml:space="preserve"> LYNCHBURG CITY</t>
  </si>
  <si>
    <t xml:space="preserve"> MARTINSVILLE CITY</t>
  </si>
  <si>
    <t xml:space="preserve"> NEWPORT NEWS CITY</t>
  </si>
  <si>
    <t xml:space="preserve"> NORFOLK CITY</t>
  </si>
  <si>
    <t xml:space="preserve"> NORTON CITY</t>
  </si>
  <si>
    <t xml:space="preserve"> PETERSBURG CITY</t>
  </si>
  <si>
    <t xml:space="preserve"> PORTSMOUTH CITY</t>
  </si>
  <si>
    <t xml:space="preserve"> RADFORD CITY</t>
  </si>
  <si>
    <t xml:space="preserve"> RICHMOND CITY</t>
  </si>
  <si>
    <t xml:space="preserve"> ROANOKE CITY</t>
  </si>
  <si>
    <t xml:space="preserve"> STAUNTON CITY</t>
  </si>
  <si>
    <t xml:space="preserve"> SUFFOLK CITY</t>
  </si>
  <si>
    <t xml:space="preserve"> VIRGINIA BEACH CITY</t>
  </si>
  <si>
    <t xml:space="preserve"> WAYNESBORO CITY</t>
  </si>
  <si>
    <t xml:space="preserve"> WILLIAMSBURG CITY</t>
  </si>
  <si>
    <t xml:space="preserve"> WINCHESTER CITY</t>
  </si>
  <si>
    <t xml:space="preserve"> FAIRFAX CITY</t>
  </si>
  <si>
    <t xml:space="preserve"> FRANKLIN CITY</t>
  </si>
  <si>
    <t xml:space="preserve"> CHESAPEAKE CITY</t>
  </si>
  <si>
    <t xml:space="preserve"> LEXINGTON CITY</t>
  </si>
  <si>
    <t xml:space="preserve"> EMPORIA CITY</t>
  </si>
  <si>
    <t xml:space="preserve"> SALEM CITY</t>
  </si>
  <si>
    <t xml:space="preserve"> BEFORD CITY</t>
  </si>
  <si>
    <t xml:space="preserve"> POQUOSON CITY</t>
  </si>
  <si>
    <t xml:space="preserve"> MANASSAS CITY</t>
  </si>
  <si>
    <t xml:space="preserve"> MANASSAS PARK CITY</t>
  </si>
  <si>
    <t xml:space="preserve"> COLONIAL BEACH</t>
  </si>
  <si>
    <t xml:space="preserve"> WEST POINT</t>
  </si>
  <si>
    <t>2d.  Less total State funds used for capital expenditures (Schedule G of ASRFIN):</t>
  </si>
  <si>
    <t>4d.  Less total Federal funds used for capital expenditures (Schedule G of ASRFIN):</t>
  </si>
  <si>
    <t>Projections based on Governor's Caboose Budget (FY06) and Introduced Budget (FY07)</t>
  </si>
  <si>
    <r>
      <t xml:space="preserve">Pupil </t>
    </r>
    <r>
      <rPr>
        <vertAlign val="superscript"/>
        <sz val="9"/>
        <rFont val="Arial"/>
        <family val="2"/>
      </rPr>
      <t>2</t>
    </r>
  </si>
  <si>
    <r>
      <t xml:space="preserve">Local </t>
    </r>
    <r>
      <rPr>
        <b/>
        <vertAlign val="superscript"/>
        <sz val="9"/>
        <color indexed="12"/>
        <rFont val="Arial"/>
        <family val="2"/>
      </rPr>
      <t>3</t>
    </r>
  </si>
  <si>
    <r>
      <t>2</t>
    </r>
    <r>
      <rPr>
        <sz val="10"/>
        <rFont val="Arial"/>
        <family val="2"/>
      </rPr>
      <t xml:space="preserve">  The Average Daily Membership (ADM) calculated at the end of the school year includes the ADM of pupils served in the school division and the ADM of resident pupils for whom tuition is paid to another school division, regional special education program, or private school.</t>
    </r>
  </si>
  <si>
    <r>
      <t>3</t>
    </r>
    <r>
      <rPr>
        <sz val="10"/>
        <rFont val="Arial"/>
        <family val="2"/>
      </rPr>
      <t xml:space="preserve">  Expenditures exclude tuition payments (revenue source code 1901010) received from other LEAs.</t>
    </r>
  </si>
  <si>
    <r>
      <t>4</t>
    </r>
    <r>
      <rPr>
        <sz val="10"/>
        <rFont val="Arial"/>
        <family val="2"/>
      </rPr>
      <t xml:space="preserve">  Sales Tax amounts are as reported on the Annual School Report and include both the one percent and one-eighth percent.</t>
    </r>
  </si>
  <si>
    <r>
      <t xml:space="preserve">And Use Tax </t>
    </r>
    <r>
      <rPr>
        <b/>
        <vertAlign val="superscript"/>
        <sz val="9"/>
        <color indexed="16"/>
        <rFont val="Arial"/>
        <family val="2"/>
      </rPr>
      <t>4</t>
    </r>
  </si>
  <si>
    <r>
      <t>5</t>
    </r>
    <r>
      <rPr>
        <sz val="10"/>
        <rFont val="Arial"/>
        <family val="2"/>
      </rPr>
      <t xml:space="preserve">  Support by fund source may not equal total expenditures due to rounding.</t>
    </r>
  </si>
  <si>
    <r>
      <t xml:space="preserve">Expenditure </t>
    </r>
    <r>
      <rPr>
        <vertAlign val="superscript"/>
        <sz val="9"/>
        <rFont val="Arial"/>
        <family val="2"/>
      </rPr>
      <t>5</t>
    </r>
  </si>
  <si>
    <r>
      <t xml:space="preserve">Operations </t>
    </r>
    <r>
      <rPr>
        <vertAlign val="superscript"/>
        <sz val="9"/>
        <rFont val="Arial"/>
        <family val="2"/>
      </rPr>
      <t>3</t>
    </r>
  </si>
  <si>
    <t>STATE TOTAL</t>
  </si>
  <si>
    <r>
      <t>6</t>
    </r>
    <r>
      <rPr>
        <sz val="10"/>
        <rFont val="Arial"/>
        <family val="2"/>
      </rPr>
      <t xml:space="preserve">  Certain federal grant revenues are reported only by the following fiscal agent school divisions: Bedford County, fiscal agent for Bedford City; Fairfax County, fiscal agent for Fairfax City; Greensville County, fiscal agent for Emporia; and Williamsburg, fiscal agent for James City County.</t>
    </r>
  </si>
  <si>
    <r>
      <t xml:space="preserve">Bedford </t>
    </r>
    <r>
      <rPr>
        <vertAlign val="superscript"/>
        <sz val="9"/>
        <rFont val="Arial"/>
        <family val="2"/>
      </rPr>
      <t>6</t>
    </r>
  </si>
  <si>
    <r>
      <t xml:space="preserve">Fairfax </t>
    </r>
    <r>
      <rPr>
        <vertAlign val="superscript"/>
        <sz val="9"/>
        <rFont val="Arial"/>
        <family val="2"/>
      </rPr>
      <t>6</t>
    </r>
  </si>
  <si>
    <r>
      <t xml:space="preserve">Greensville </t>
    </r>
    <r>
      <rPr>
        <vertAlign val="superscript"/>
        <sz val="9"/>
        <rFont val="Arial"/>
        <family val="2"/>
      </rPr>
      <t>6</t>
    </r>
  </si>
  <si>
    <r>
      <t xml:space="preserve">James City </t>
    </r>
    <r>
      <rPr>
        <vertAlign val="superscript"/>
        <sz val="9"/>
        <rFont val="Arial"/>
        <family val="2"/>
      </rPr>
      <t>6</t>
    </r>
  </si>
  <si>
    <r>
      <t xml:space="preserve">Williamsburg </t>
    </r>
    <r>
      <rPr>
        <vertAlign val="superscript"/>
        <sz val="9"/>
        <rFont val="Arial"/>
        <family val="2"/>
      </rPr>
      <t>6</t>
    </r>
  </si>
  <si>
    <r>
      <t xml:space="preserve">Emporia </t>
    </r>
    <r>
      <rPr>
        <vertAlign val="superscript"/>
        <sz val="9"/>
        <rFont val="Arial"/>
        <family val="2"/>
      </rPr>
      <t>6</t>
    </r>
  </si>
  <si>
    <r>
      <t xml:space="preserve">1a.  Expenditures for operations: </t>
    </r>
    <r>
      <rPr>
        <sz val="12"/>
        <color indexed="10"/>
        <rFont val="Arial"/>
        <family val="2"/>
      </rPr>
      <t xml:space="preserve"> (see cell comment)</t>
    </r>
  </si>
  <si>
    <t xml:space="preserve">  (See Attachment D, Chart of Accounts, for 2004-2005 ASRFIN explanations)</t>
  </si>
  <si>
    <t xml:space="preserve">1b.  Less tuition from another county or city (revenue 1901010): </t>
  </si>
  <si>
    <t>3a.  Less State Sales Tax Revenues (revenues 240308 and 240312):</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</si>
</sst>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_(&quot;$&quot;* #,##0_);_(&quot;$&quot;* \(#,##0\);_(&quot;$&quot;* &quot;-&quot;??_);_(@_)"/>
    <numFmt numFmtId="166" formatCode="mmmm\ d\,\ yyyy"/>
    <numFmt numFmtId="167" formatCode="dd\-mmm\-yy"/>
    <numFmt numFmtId="168" formatCode="\(000\)\ 000\-0000"/>
    <numFmt numFmtId="169" formatCode="_(* #,##0_);_(* \(#,##0\);_(* &quot;-&quot;??_);_(@_)"/>
    <numFmt numFmtId="170" formatCode="[&lt;=9999999]###\-####;\(###\)\ ###\-####"/>
    <numFmt numFmtId="171" formatCode="_(* #,##0.0_);_(* \(#,##0.0\);_(* &quot;-&quot;??_);_(@_)"/>
    <numFmt numFmtId="172" formatCode="_(&quot;$&quot;* #,##0.0_);_(&quot;$&quot;* \(#,##0.0\);_(&quot;$&quot;* &quot;-&quot;??_);_(@_)"/>
    <numFmt numFmtId="173" formatCode="mmm\-d\-yy\-_ h\-mm"/>
    <numFmt numFmtId="174" formatCode="_(* #,##0.0_);_(* \(#,##0.0\);_(* &quot;-&quot;?_);_(@_)"/>
    <numFmt numFmtId="175" formatCode="0.0%"/>
    <numFmt numFmtId="176" formatCode="0.000%"/>
    <numFmt numFmtId="177" formatCode="0.0000%"/>
    <numFmt numFmtId="178" formatCode="0.0"/>
    <numFmt numFmtId="179" formatCode="#,##0.0"/>
    <numFmt numFmtId="180" formatCode="#,##0.000"/>
    <numFmt numFmtId="181" formatCode="0.0000000"/>
    <numFmt numFmtId="182" formatCode="0.000000"/>
    <numFmt numFmtId="183" formatCode="0.00000"/>
    <numFmt numFmtId="184" formatCode="0.0000"/>
    <numFmt numFmtId="185" formatCode="0.000"/>
    <numFmt numFmtId="186" formatCode="0.00000000"/>
    <numFmt numFmtId="187" formatCode="0.000000000"/>
    <numFmt numFmtId="188" formatCode="0.0000000000"/>
    <numFmt numFmtId="189" formatCode="0.00000000000"/>
    <numFmt numFmtId="190" formatCode="General_)"/>
    <numFmt numFmtId="191" formatCode="_(* #,##0.000_);_(* \(#,##0.000\);_(* &quot;-&quot;??_);_(@_)"/>
    <numFmt numFmtId="192" formatCode="_(* #,##0.0000_);_(* \(#,##0.0000\);_(* &quot;-&quot;??_);_(@_)"/>
    <numFmt numFmtId="193" formatCode="&quot;$&quot;#,##0.00"/>
    <numFmt numFmtId="194" formatCode="#,##0;[Red]#,##0"/>
    <numFmt numFmtId="195" formatCode="_(&quot;$&quot;* #,##0.000_);_(&quot;$&quot;* \(#,##0.000\);_(&quot;$&quot;* &quot;-&quot;??_);_(@_)"/>
    <numFmt numFmtId="196" formatCode="0_);\(0\)"/>
    <numFmt numFmtId="197" formatCode="&quot;$&quot;#,##0.0_);[Red]\(&quot;$&quot;#,##0.0\)"/>
    <numFmt numFmtId="198" formatCode="_(* #,##0.0000000_);_(* \(#,##0.0000000\);_(* &quot;-&quot;???????_);_(@_)"/>
    <numFmt numFmtId="199" formatCode="_(* #,##0.00000000_);_(* \(#,##0.00000000\);_(* &quot;-&quot;????????_);_(@_)"/>
    <numFmt numFmtId="200" formatCode="_(* #,##0.000000000_);_(* \(#,##0.000000000\);_(* &quot;-&quot;?????????_);_(@_)"/>
    <numFmt numFmtId="201" formatCode="#,##0.0_);[Red]\(#,##0.0\)"/>
    <numFmt numFmtId="202" formatCode="#,##0.0_);\(#,##0.0\)"/>
    <numFmt numFmtId="203" formatCode="000.0"/>
    <numFmt numFmtId="204" formatCode="000.00"/>
  </numFmts>
  <fonts count="36">
    <font>
      <sz val="10"/>
      <name val="Arial"/>
      <family val="0"/>
    </font>
    <font>
      <sz val="12"/>
      <name val="Arial"/>
      <family val="2"/>
    </font>
    <font>
      <b/>
      <sz val="12"/>
      <name val="Arial"/>
      <family val="2"/>
    </font>
    <font>
      <b/>
      <sz val="10"/>
      <name val="Arial"/>
      <family val="2"/>
    </font>
    <font>
      <b/>
      <sz val="14"/>
      <name val="Arial"/>
      <family val="2"/>
    </font>
    <font>
      <b/>
      <sz val="10"/>
      <color indexed="12"/>
      <name val="Arial"/>
      <family val="2"/>
    </font>
    <font>
      <sz val="12"/>
      <color indexed="12"/>
      <name val="Arial"/>
      <family val="2"/>
    </font>
    <font>
      <sz val="12"/>
      <color indexed="10"/>
      <name val="Arial"/>
      <family val="2"/>
    </font>
    <font>
      <b/>
      <sz val="12"/>
      <color indexed="16"/>
      <name val="Arial"/>
      <family val="2"/>
    </font>
    <font>
      <u val="single"/>
      <sz val="10"/>
      <color indexed="36"/>
      <name val="Arial"/>
      <family val="0"/>
    </font>
    <font>
      <u val="single"/>
      <sz val="10"/>
      <color indexed="12"/>
      <name val="Arial"/>
      <family val="0"/>
    </font>
    <font>
      <sz val="8"/>
      <name val="Tahoma"/>
      <family val="2"/>
    </font>
    <font>
      <b/>
      <sz val="10"/>
      <color indexed="16"/>
      <name val="Arial"/>
      <family val="2"/>
    </font>
    <font>
      <b/>
      <vertAlign val="superscript"/>
      <sz val="9"/>
      <name val="Arial"/>
      <family val="2"/>
    </font>
    <font>
      <b/>
      <sz val="9"/>
      <name val="Arial"/>
      <family val="2"/>
    </font>
    <font>
      <sz val="9"/>
      <name val="Arial"/>
      <family val="2"/>
    </font>
    <font>
      <vertAlign val="superscript"/>
      <sz val="9"/>
      <name val="Arial"/>
      <family val="2"/>
    </font>
    <font>
      <b/>
      <sz val="10"/>
      <color indexed="17"/>
      <name val="Arial"/>
      <family val="2"/>
    </font>
    <font>
      <vertAlign val="superscript"/>
      <sz val="8"/>
      <name val="Arial"/>
      <family val="2"/>
    </font>
    <font>
      <sz val="9"/>
      <color indexed="9"/>
      <name val="Arial"/>
      <family val="2"/>
    </font>
    <font>
      <b/>
      <sz val="9"/>
      <color indexed="16"/>
      <name val="Arial"/>
      <family val="2"/>
    </font>
    <font>
      <b/>
      <sz val="9"/>
      <color indexed="12"/>
      <name val="Arial"/>
      <family val="2"/>
    </font>
    <font>
      <b/>
      <vertAlign val="superscript"/>
      <sz val="9"/>
      <color indexed="16"/>
      <name val="Arial"/>
      <family val="2"/>
    </font>
    <font>
      <b/>
      <sz val="9"/>
      <color indexed="17"/>
      <name val="Arial"/>
      <family val="2"/>
    </font>
    <font>
      <vertAlign val="superscript"/>
      <sz val="10"/>
      <name val="Arial"/>
      <family val="2"/>
    </font>
    <font>
      <b/>
      <sz val="16"/>
      <name val="Arial"/>
      <family val="2"/>
    </font>
    <font>
      <sz val="10"/>
      <color indexed="10"/>
      <name val="Arial"/>
      <family val="2"/>
    </font>
    <font>
      <b/>
      <sz val="9"/>
      <color indexed="10"/>
      <name val="Arial"/>
      <family val="2"/>
    </font>
    <font>
      <sz val="12"/>
      <color indexed="22"/>
      <name val="Arial"/>
      <family val="2"/>
    </font>
    <font>
      <sz val="10"/>
      <color indexed="22"/>
      <name val="Arial"/>
      <family val="2"/>
    </font>
    <font>
      <b/>
      <vertAlign val="superscript"/>
      <sz val="9"/>
      <color indexed="12"/>
      <name val="Arial"/>
      <family val="2"/>
    </font>
    <font>
      <b/>
      <sz val="14"/>
      <color indexed="10"/>
      <name val="Arial"/>
      <family val="2"/>
    </font>
    <font>
      <b/>
      <u val="single"/>
      <sz val="11"/>
      <name val="Tahoma"/>
      <family val="2"/>
    </font>
    <font>
      <b/>
      <sz val="11"/>
      <name val="Tahoma"/>
      <family val="2"/>
    </font>
    <font>
      <sz val="11"/>
      <name val="Tahoma"/>
      <family val="2"/>
    </font>
    <font>
      <b/>
      <sz val="8"/>
      <name val="Arial"/>
      <family val="2"/>
    </font>
  </fonts>
  <fills count="8">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s>
  <borders count="31">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style="thin"/>
    </border>
    <border>
      <left style="medium"/>
      <right>
        <color indexed="63"/>
      </right>
      <top style="medium"/>
      <bottom style="medium"/>
    </border>
    <border>
      <left style="thin"/>
      <right style="medium"/>
      <top style="medium"/>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27">
    <xf numFmtId="0" fontId="0" fillId="0" borderId="0" xfId="0" applyAlignment="1">
      <alignment/>
    </xf>
    <xf numFmtId="0" fontId="1" fillId="0" borderId="0" xfId="0" applyFont="1" applyAlignment="1" applyProtection="1">
      <alignment/>
      <protection/>
    </xf>
    <xf numFmtId="43" fontId="1" fillId="0" borderId="0" xfId="15" applyFont="1" applyAlignment="1" applyProtection="1">
      <alignment/>
      <protection/>
    </xf>
    <xf numFmtId="164" fontId="2" fillId="0" borderId="0" xfId="15" applyNumberFormat="1" applyFont="1" applyFill="1" applyBorder="1" applyAlignment="1" applyProtection="1">
      <alignment horizontal="center"/>
      <protection/>
    </xf>
    <xf numFmtId="3" fontId="8" fillId="2" borderId="1" xfId="15" applyNumberFormat="1" applyFont="1" applyFill="1" applyBorder="1" applyAlignment="1" applyProtection="1">
      <alignment/>
      <protection locked="0"/>
    </xf>
    <xf numFmtId="0" fontId="1" fillId="0" borderId="0" xfId="0" applyFont="1" applyAlignment="1">
      <alignment/>
    </xf>
    <xf numFmtId="3" fontId="1" fillId="0" borderId="1" xfId="15" applyNumberFormat="1" applyFont="1" applyFill="1" applyBorder="1" applyAlignment="1" applyProtection="1">
      <alignment/>
      <protection/>
    </xf>
    <xf numFmtId="0" fontId="14" fillId="0" borderId="0" xfId="0" applyFont="1" applyAlignment="1">
      <alignment/>
    </xf>
    <xf numFmtId="0" fontId="15" fillId="0" borderId="0" xfId="0" applyFont="1" applyAlignment="1">
      <alignment/>
    </xf>
    <xf numFmtId="169" fontId="15" fillId="0" borderId="0" xfId="15" applyNumberFormat="1" applyFont="1" applyAlignment="1">
      <alignment/>
    </xf>
    <xf numFmtId="169" fontId="15" fillId="0" borderId="0" xfId="15" applyNumberFormat="1" applyFont="1" applyBorder="1" applyAlignment="1">
      <alignment/>
    </xf>
    <xf numFmtId="0" fontId="14" fillId="0" borderId="2" xfId="0" applyFont="1" applyBorder="1" applyAlignment="1">
      <alignment/>
    </xf>
    <xf numFmtId="0" fontId="15" fillId="0" borderId="0" xfId="0" applyFont="1" applyAlignment="1">
      <alignment horizontal="center"/>
    </xf>
    <xf numFmtId="0" fontId="15" fillId="0" borderId="3" xfId="0" applyFont="1" applyBorder="1" applyAlignment="1">
      <alignment/>
    </xf>
    <xf numFmtId="169" fontId="15" fillId="0" borderId="3" xfId="15" applyNumberFormat="1" applyFont="1" applyBorder="1" applyAlignment="1">
      <alignment horizontal="center"/>
    </xf>
    <xf numFmtId="169" fontId="15" fillId="0" borderId="0" xfId="15" applyNumberFormat="1" applyFont="1" applyAlignment="1">
      <alignment horizontal="center"/>
    </xf>
    <xf numFmtId="169" fontId="15" fillId="0" borderId="4" xfId="15" applyNumberFormat="1" applyFont="1" applyBorder="1" applyAlignment="1">
      <alignment horizontal="center"/>
    </xf>
    <xf numFmtId="169" fontId="15" fillId="0" borderId="0" xfId="15" applyNumberFormat="1" applyFont="1" applyBorder="1" applyAlignment="1">
      <alignment horizontal="center"/>
    </xf>
    <xf numFmtId="0" fontId="15" fillId="0" borderId="2" xfId="0" applyFont="1" applyBorder="1" applyAlignment="1">
      <alignment horizontal="center"/>
    </xf>
    <xf numFmtId="0" fontId="15" fillId="0" borderId="2" xfId="0" applyFont="1" applyBorder="1" applyAlignment="1">
      <alignment/>
    </xf>
    <xf numFmtId="169" fontId="15" fillId="0" borderId="5" xfId="15" applyNumberFormat="1" applyFont="1" applyBorder="1" applyAlignment="1">
      <alignment horizontal="center"/>
    </xf>
    <xf numFmtId="169" fontId="15" fillId="0" borderId="2" xfId="15" applyNumberFormat="1" applyFont="1" applyBorder="1" applyAlignment="1">
      <alignment horizontal="center"/>
    </xf>
    <xf numFmtId="164" fontId="15" fillId="0" borderId="0" xfId="0" applyNumberFormat="1" applyFont="1" applyAlignment="1">
      <alignment horizontal="center"/>
    </xf>
    <xf numFmtId="0" fontId="15" fillId="0" borderId="6" xfId="0" applyFont="1" applyBorder="1" applyAlignment="1">
      <alignment horizontal="center"/>
    </xf>
    <xf numFmtId="169" fontId="15" fillId="0" borderId="0" xfId="15" applyNumberFormat="1" applyFont="1" applyFill="1" applyAlignment="1">
      <alignment/>
    </xf>
    <xf numFmtId="0" fontId="3" fillId="0" borderId="6" xfId="0" applyFont="1" applyBorder="1" applyAlignment="1">
      <alignment/>
    </xf>
    <xf numFmtId="169" fontId="3" fillId="0" borderId="6" xfId="15" applyNumberFormat="1" applyFont="1" applyBorder="1" applyAlignment="1">
      <alignment/>
    </xf>
    <xf numFmtId="169" fontId="5" fillId="0" borderId="6" xfId="15" applyNumberFormat="1" applyFont="1" applyBorder="1" applyAlignment="1">
      <alignment/>
    </xf>
    <xf numFmtId="169" fontId="12" fillId="0" borderId="6" xfId="15" applyNumberFormat="1" applyFont="1" applyBorder="1" applyAlignment="1">
      <alignment/>
    </xf>
    <xf numFmtId="169" fontId="17" fillId="0" borderId="6" xfId="15" applyNumberFormat="1" applyFont="1" applyBorder="1" applyAlignment="1">
      <alignment/>
    </xf>
    <xf numFmtId="169" fontId="14" fillId="0" borderId="0" xfId="15" applyNumberFormat="1" applyFont="1" applyAlignment="1">
      <alignment/>
    </xf>
    <xf numFmtId="0" fontId="19" fillId="0" borderId="2" xfId="0" applyFont="1" applyBorder="1" applyAlignment="1">
      <alignment horizontal="center"/>
    </xf>
    <xf numFmtId="3" fontId="7" fillId="0" borderId="1" xfId="15" applyNumberFormat="1" applyFont="1" applyFill="1" applyBorder="1" applyAlignment="1" applyProtection="1">
      <alignment/>
      <protection/>
    </xf>
    <xf numFmtId="3" fontId="7" fillId="0" borderId="0" xfId="15" applyNumberFormat="1" applyFont="1" applyFill="1" applyBorder="1" applyAlignment="1" applyProtection="1">
      <alignment/>
      <protection/>
    </xf>
    <xf numFmtId="3" fontId="6" fillId="0" borderId="1" xfId="15" applyNumberFormat="1" applyFont="1" applyFill="1" applyBorder="1" applyAlignment="1" applyProtection="1">
      <alignment/>
      <protection/>
    </xf>
    <xf numFmtId="0" fontId="0" fillId="0" borderId="0" xfId="0" applyAlignment="1" applyProtection="1">
      <alignment/>
      <protection/>
    </xf>
    <xf numFmtId="3" fontId="7" fillId="2" borderId="1" xfId="15" applyNumberFormat="1" applyFont="1" applyFill="1" applyBorder="1" applyAlignment="1" applyProtection="1">
      <alignment/>
      <protection locked="0"/>
    </xf>
    <xf numFmtId="3" fontId="6" fillId="2" borderId="1" xfId="15" applyNumberFormat="1" applyFont="1" applyFill="1" applyBorder="1" applyAlignment="1" applyProtection="1">
      <alignment/>
      <protection locked="0"/>
    </xf>
    <xf numFmtId="3" fontId="1" fillId="2" borderId="1" xfId="15" applyNumberFormat="1" applyFont="1" applyFill="1" applyBorder="1" applyAlignment="1" applyProtection="1">
      <alignment/>
      <protection locked="0"/>
    </xf>
    <xf numFmtId="169" fontId="15" fillId="0" borderId="7" xfId="15" applyNumberFormat="1" applyFont="1" applyBorder="1" applyAlignment="1">
      <alignment horizontal="center"/>
    </xf>
    <xf numFmtId="169" fontId="15" fillId="0" borderId="8" xfId="15" applyNumberFormat="1" applyFont="1" applyBorder="1" applyAlignment="1">
      <alignment horizontal="center"/>
    </xf>
    <xf numFmtId="0" fontId="15" fillId="0" borderId="8" xfId="0" applyFont="1" applyBorder="1" applyAlignment="1">
      <alignment horizontal="center"/>
    </xf>
    <xf numFmtId="0" fontId="20" fillId="0" borderId="9" xfId="0" applyFont="1" applyBorder="1" applyAlignment="1">
      <alignment/>
    </xf>
    <xf numFmtId="0" fontId="20" fillId="0" borderId="10" xfId="0" applyFont="1" applyBorder="1" applyAlignment="1">
      <alignment/>
    </xf>
    <xf numFmtId="169" fontId="14" fillId="0" borderId="0" xfId="15" applyNumberFormat="1" applyFont="1" applyAlignment="1">
      <alignment horizontal="center"/>
    </xf>
    <xf numFmtId="169" fontId="23" fillId="0" borderId="0" xfId="15" applyNumberFormat="1" applyFont="1" applyAlignment="1">
      <alignment/>
    </xf>
    <xf numFmtId="0" fontId="15" fillId="3" borderId="0" xfId="0" applyFont="1" applyFill="1" applyAlignment="1">
      <alignment/>
    </xf>
    <xf numFmtId="0" fontId="0" fillId="3" borderId="0" xfId="0" applyFill="1" applyAlignment="1">
      <alignment/>
    </xf>
    <xf numFmtId="0" fontId="18" fillId="3" borderId="0" xfId="0" applyFont="1" applyFill="1" applyAlignment="1">
      <alignment/>
    </xf>
    <xf numFmtId="169" fontId="15" fillId="3" borderId="0" xfId="15" applyNumberFormat="1" applyFont="1" applyFill="1" applyAlignment="1">
      <alignment/>
    </xf>
    <xf numFmtId="0" fontId="15" fillId="3" borderId="0" xfId="0" applyFont="1" applyFill="1" applyAlignment="1">
      <alignment horizontal="center"/>
    </xf>
    <xf numFmtId="0" fontId="14" fillId="0" borderId="9" xfId="0" applyFont="1" applyBorder="1" applyAlignment="1">
      <alignment horizontal="center"/>
    </xf>
    <xf numFmtId="0" fontId="14" fillId="0" borderId="11" xfId="0" applyFont="1" applyBorder="1" applyAlignment="1">
      <alignment/>
    </xf>
    <xf numFmtId="169" fontId="14" fillId="0" borderId="11" xfId="15" applyNumberFormat="1" applyFont="1" applyBorder="1" applyAlignment="1">
      <alignment/>
    </xf>
    <xf numFmtId="169" fontId="14" fillId="0" borderId="10" xfId="15" applyNumberFormat="1" applyFont="1" applyBorder="1" applyAlignment="1">
      <alignment/>
    </xf>
    <xf numFmtId="0" fontId="15" fillId="0" borderId="0" xfId="0" applyFont="1" applyBorder="1" applyAlignment="1">
      <alignment/>
    </xf>
    <xf numFmtId="169" fontId="15" fillId="0" borderId="12" xfId="15" applyNumberFormat="1" applyFont="1" applyBorder="1" applyAlignment="1">
      <alignment/>
    </xf>
    <xf numFmtId="0" fontId="24" fillId="0" borderId="4" xfId="0" applyFont="1" applyBorder="1" applyAlignment="1">
      <alignment/>
    </xf>
    <xf numFmtId="0" fontId="1" fillId="3" borderId="0" xfId="0" applyFont="1" applyFill="1" applyAlignment="1" applyProtection="1">
      <alignment/>
      <protection/>
    </xf>
    <xf numFmtId="0" fontId="0" fillId="3" borderId="0" xfId="0" applyFill="1" applyAlignment="1" applyProtection="1">
      <alignment/>
      <protection/>
    </xf>
    <xf numFmtId="43" fontId="1" fillId="0" borderId="13" xfId="15" applyFont="1" applyBorder="1" applyAlignment="1" applyProtection="1">
      <alignment/>
      <protection/>
    </xf>
    <xf numFmtId="43" fontId="1" fillId="0" borderId="0" xfId="15" applyFont="1" applyBorder="1" applyAlignment="1" applyProtection="1">
      <alignment/>
      <protection/>
    </xf>
    <xf numFmtId="43" fontId="1" fillId="0" borderId="14" xfId="15" applyFont="1" applyBorder="1" applyAlignment="1" applyProtection="1">
      <alignment horizontal="right"/>
      <protection/>
    </xf>
    <xf numFmtId="43" fontId="2" fillId="0" borderId="13" xfId="15" applyFont="1" applyBorder="1" applyAlignment="1" applyProtection="1">
      <alignment/>
      <protection/>
    </xf>
    <xf numFmtId="43" fontId="2" fillId="0" borderId="0" xfId="15" applyFont="1" applyBorder="1" applyAlignment="1" applyProtection="1">
      <alignment horizontal="center"/>
      <protection/>
    </xf>
    <xf numFmtId="43" fontId="1" fillId="0" borderId="14" xfId="15" applyFont="1" applyBorder="1" applyAlignment="1" applyProtection="1">
      <alignment/>
      <protection/>
    </xf>
    <xf numFmtId="165" fontId="2" fillId="2" borderId="15" xfId="17" applyNumberFormat="1" applyFont="1" applyFill="1" applyBorder="1" applyAlignment="1" applyProtection="1">
      <alignment/>
      <protection/>
    </xf>
    <xf numFmtId="43" fontId="1" fillId="0" borderId="14" xfId="15" applyFont="1" applyFill="1" applyBorder="1" applyAlignment="1" applyProtection="1">
      <alignment/>
      <protection/>
    </xf>
    <xf numFmtId="43" fontId="1" fillId="0" borderId="0" xfId="15" applyFont="1" applyFill="1" applyBorder="1" applyAlignment="1" applyProtection="1">
      <alignment/>
      <protection/>
    </xf>
    <xf numFmtId="0" fontId="1" fillId="0" borderId="14" xfId="0" applyFont="1" applyBorder="1" applyAlignment="1" applyProtection="1">
      <alignment/>
      <protection/>
    </xf>
    <xf numFmtId="43" fontId="2" fillId="0" borderId="0" xfId="15" applyFont="1"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0" fillId="0" borderId="14" xfId="0" applyBorder="1" applyAlignment="1" applyProtection="1">
      <alignment/>
      <protection/>
    </xf>
    <xf numFmtId="43" fontId="8" fillId="0" borderId="13" xfId="15" applyFont="1" applyBorder="1" applyAlignment="1" applyProtection="1">
      <alignment/>
      <protection/>
    </xf>
    <xf numFmtId="0" fontId="0" fillId="0" borderId="16" xfId="0" applyBorder="1" applyAlignment="1" applyProtection="1">
      <alignment/>
      <protection/>
    </xf>
    <xf numFmtId="0" fontId="0" fillId="0" borderId="2" xfId="0" applyBorder="1" applyAlignment="1" applyProtection="1">
      <alignment/>
      <protection/>
    </xf>
    <xf numFmtId="0" fontId="0" fillId="0" borderId="17" xfId="0" applyBorder="1" applyAlignment="1" applyProtection="1">
      <alignment/>
      <protection/>
    </xf>
    <xf numFmtId="165" fontId="2" fillId="0" borderId="15" xfId="17" applyNumberFormat="1" applyFont="1" applyFill="1" applyBorder="1" applyAlignment="1" applyProtection="1">
      <alignment/>
      <protection/>
    </xf>
    <xf numFmtId="0" fontId="0" fillId="0" borderId="0" xfId="0" applyFill="1" applyAlignment="1">
      <alignment/>
    </xf>
    <xf numFmtId="0" fontId="28" fillId="3" borderId="0" xfId="0" applyFont="1" applyFill="1" applyAlignment="1" applyProtection="1">
      <alignment/>
      <protection/>
    </xf>
    <xf numFmtId="169" fontId="28" fillId="3" borderId="0" xfId="15" applyNumberFormat="1" applyFont="1" applyFill="1" applyAlignment="1" applyProtection="1">
      <alignment/>
      <protection/>
    </xf>
    <xf numFmtId="0" fontId="28" fillId="3" borderId="0" xfId="0" applyFont="1" applyFill="1" applyAlignment="1" applyProtection="1">
      <alignment horizontal="center"/>
      <protection/>
    </xf>
    <xf numFmtId="43" fontId="1" fillId="3" borderId="0" xfId="15" applyFont="1" applyFill="1" applyAlignment="1" applyProtection="1">
      <alignment/>
      <protection/>
    </xf>
    <xf numFmtId="0" fontId="1" fillId="0" borderId="0" xfId="0" applyFont="1" applyFill="1" applyAlignment="1" applyProtection="1">
      <alignment/>
      <protection/>
    </xf>
    <xf numFmtId="43" fontId="1" fillId="0" borderId="14" xfId="0" applyNumberFormat="1" applyFont="1" applyBorder="1" applyAlignment="1" applyProtection="1">
      <alignment/>
      <protection/>
    </xf>
    <xf numFmtId="169" fontId="15" fillId="0" borderId="3" xfId="15" applyNumberFormat="1" applyFont="1" applyFill="1" applyBorder="1" applyAlignment="1">
      <alignment horizontal="center"/>
    </xf>
    <xf numFmtId="0" fontId="14" fillId="0" borderId="0" xfId="0" applyFont="1" applyFill="1" applyAlignment="1">
      <alignment/>
    </xf>
    <xf numFmtId="169" fontId="15" fillId="0" borderId="4" xfId="15" applyNumberFormat="1" applyFont="1" applyFill="1" applyBorder="1" applyAlignment="1">
      <alignment horizontal="center"/>
    </xf>
    <xf numFmtId="169" fontId="15" fillId="0" borderId="5" xfId="15" applyNumberFormat="1" applyFont="1" applyFill="1" applyBorder="1" applyAlignment="1">
      <alignment horizontal="center"/>
    </xf>
    <xf numFmtId="49" fontId="15" fillId="0" borderId="5" xfId="15" applyNumberFormat="1" applyFont="1" applyBorder="1" applyAlignment="1">
      <alignment horizontal="center"/>
    </xf>
    <xf numFmtId="169" fontId="1" fillId="3" borderId="0" xfId="0" applyNumberFormat="1" applyFont="1" applyFill="1" applyAlignment="1" applyProtection="1">
      <alignment/>
      <protection/>
    </xf>
    <xf numFmtId="0" fontId="1" fillId="0" borderId="13" xfId="15" applyNumberFormat="1" applyFont="1" applyBorder="1" applyAlignment="1" applyProtection="1">
      <alignment horizontal="left"/>
      <protection/>
    </xf>
    <xf numFmtId="0" fontId="1" fillId="0" borderId="13" xfId="15" applyNumberFormat="1" applyFont="1" applyBorder="1" applyAlignment="1" applyProtection="1">
      <alignment horizontal="left" indent="2"/>
      <protection/>
    </xf>
    <xf numFmtId="0" fontId="1" fillId="0" borderId="0" xfId="15" applyNumberFormat="1" applyFont="1" applyBorder="1" applyAlignment="1" applyProtection="1">
      <alignment horizontal="left" indent="2"/>
      <protection/>
    </xf>
    <xf numFmtId="0" fontId="1" fillId="0" borderId="13" xfId="15" applyNumberFormat="1" applyFont="1" applyBorder="1" applyAlignment="1" applyProtection="1">
      <alignment horizontal="center"/>
      <protection/>
    </xf>
    <xf numFmtId="0" fontId="1" fillId="0" borderId="0" xfId="15" applyNumberFormat="1" applyFont="1" applyBorder="1" applyAlignment="1" applyProtection="1">
      <alignment horizontal="center"/>
      <protection/>
    </xf>
    <xf numFmtId="3" fontId="7" fillId="0" borderId="1" xfId="15" applyNumberFormat="1" applyFont="1" applyBorder="1" applyAlignment="1" applyProtection="1">
      <alignment/>
      <protection/>
    </xf>
    <xf numFmtId="0" fontId="1" fillId="0" borderId="12" xfId="15" applyNumberFormat="1" applyFont="1" applyBorder="1" applyAlignment="1" applyProtection="1">
      <alignment horizontal="left"/>
      <protection/>
    </xf>
    <xf numFmtId="3" fontId="7" fillId="0" borderId="0" xfId="15" applyNumberFormat="1" applyFont="1" applyBorder="1" applyAlignment="1" applyProtection="1">
      <alignment/>
      <protection/>
    </xf>
    <xf numFmtId="165" fontId="2" fillId="4" borderId="18" xfId="17" applyNumberFormat="1" applyFont="1" applyFill="1" applyBorder="1" applyAlignment="1" applyProtection="1">
      <alignment/>
      <protection/>
    </xf>
    <xf numFmtId="0" fontId="1" fillId="0" borderId="13" xfId="15" applyNumberFormat="1" applyFont="1" applyBorder="1" applyAlignment="1" applyProtection="1">
      <alignment horizontal="left" indent="5"/>
      <protection/>
    </xf>
    <xf numFmtId="43" fontId="1" fillId="0" borderId="13" xfId="15" applyFont="1" applyBorder="1" applyAlignment="1" applyProtection="1">
      <alignment horizontal="left" indent="3"/>
      <protection/>
    </xf>
    <xf numFmtId="0" fontId="2" fillId="0" borderId="13" xfId="15" applyNumberFormat="1" applyFont="1" applyBorder="1" applyAlignment="1" applyProtection="1">
      <alignment horizontal="left" indent="2"/>
      <protection/>
    </xf>
    <xf numFmtId="165" fontId="1" fillId="0" borderId="1" xfId="17" applyNumberFormat="1" applyFont="1" applyFill="1" applyBorder="1" applyAlignment="1" applyProtection="1">
      <alignment/>
      <protection/>
    </xf>
    <xf numFmtId="0" fontId="2" fillId="0" borderId="0" xfId="0" applyFont="1" applyAlignment="1">
      <alignment/>
    </xf>
    <xf numFmtId="164" fontId="2" fillId="0" borderId="19" xfId="15" applyNumberFormat="1" applyFont="1" applyFill="1" applyBorder="1" applyAlignment="1" applyProtection="1">
      <alignment horizontal="center" vertical="center"/>
      <protection/>
    </xf>
    <xf numFmtId="43" fontId="2" fillId="0" borderId="1" xfId="15" applyFont="1" applyFill="1" applyBorder="1" applyAlignment="1" applyProtection="1">
      <alignment horizontal="center" vertical="center"/>
      <protection/>
    </xf>
    <xf numFmtId="164" fontId="2" fillId="0" borderId="13" xfId="15" applyNumberFormat="1" applyFont="1" applyFill="1" applyBorder="1" applyAlignment="1" applyProtection="1">
      <alignment horizontal="center" vertical="center"/>
      <protection/>
    </xf>
    <xf numFmtId="43" fontId="2" fillId="0" borderId="0" xfId="15" applyFont="1" applyFill="1" applyBorder="1" applyAlignment="1" applyProtection="1">
      <alignment horizontal="center" vertical="center"/>
      <protection/>
    </xf>
    <xf numFmtId="165" fontId="2" fillId="5" borderId="18" xfId="17" applyNumberFormat="1" applyFont="1" applyFill="1" applyBorder="1" applyAlignment="1" applyProtection="1">
      <alignment/>
      <protection/>
    </xf>
    <xf numFmtId="165" fontId="2" fillId="6" borderId="18" xfId="17" applyNumberFormat="1" applyFont="1" applyFill="1" applyBorder="1" applyAlignment="1" applyProtection="1">
      <alignment/>
      <protection/>
    </xf>
    <xf numFmtId="165" fontId="1" fillId="2" borderId="1" xfId="17" applyNumberFormat="1" applyFont="1" applyFill="1" applyBorder="1" applyAlignment="1" applyProtection="1">
      <alignment/>
      <protection locked="0"/>
    </xf>
    <xf numFmtId="164" fontId="1" fillId="0" borderId="13" xfId="0" applyNumberFormat="1" applyFont="1" applyFill="1" applyBorder="1" applyAlignment="1" applyProtection="1">
      <alignment horizontal="center"/>
      <protection/>
    </xf>
    <xf numFmtId="0" fontId="1" fillId="0" borderId="0" xfId="0" applyFont="1" applyFill="1" applyBorder="1" applyAlignment="1" applyProtection="1">
      <alignment/>
      <protection/>
    </xf>
    <xf numFmtId="169" fontId="1" fillId="0" borderId="0" xfId="15" applyNumberFormat="1" applyFont="1" applyFill="1" applyBorder="1" applyAlignment="1" applyProtection="1">
      <alignment/>
      <protection/>
    </xf>
    <xf numFmtId="165" fontId="1" fillId="0" borderId="1" xfId="17" applyNumberFormat="1" applyFont="1" applyFill="1" applyBorder="1" applyAlignment="1" applyProtection="1">
      <alignment/>
      <protection locked="0"/>
    </xf>
    <xf numFmtId="3" fontId="2" fillId="7" borderId="20" xfId="0" applyNumberFormat="1" applyFont="1" applyFill="1" applyBorder="1" applyAlignment="1" applyProtection="1">
      <alignment horizontal="center"/>
      <protection/>
    </xf>
    <xf numFmtId="3" fontId="2" fillId="7" borderId="18" xfId="0" applyNumberFormat="1" applyFont="1" applyFill="1" applyBorder="1" applyAlignment="1" applyProtection="1">
      <alignment horizontal="center"/>
      <protection/>
    </xf>
    <xf numFmtId="169" fontId="2" fillId="6" borderId="18" xfId="15" applyNumberFormat="1" applyFont="1" applyFill="1" applyBorder="1" applyAlignment="1" applyProtection="1">
      <alignment horizontal="center"/>
      <protection/>
    </xf>
    <xf numFmtId="169" fontId="2" fillId="7" borderId="21" xfId="15" applyNumberFormat="1" applyFont="1" applyFill="1" applyBorder="1" applyAlignment="1" applyProtection="1">
      <alignment horizontal="center"/>
      <protection/>
    </xf>
    <xf numFmtId="164" fontId="1" fillId="0" borderId="22" xfId="0" applyNumberFormat="1" applyFont="1" applyFill="1" applyBorder="1" applyAlignment="1" applyProtection="1">
      <alignment horizontal="center"/>
      <protection/>
    </xf>
    <xf numFmtId="0" fontId="1" fillId="0" borderId="3" xfId="0" applyFont="1" applyFill="1" applyBorder="1" applyAlignment="1" applyProtection="1">
      <alignment/>
      <protection/>
    </xf>
    <xf numFmtId="169" fontId="1" fillId="0" borderId="3" xfId="15" applyNumberFormat="1" applyFont="1" applyFill="1" applyBorder="1" applyAlignment="1" applyProtection="1">
      <alignment/>
      <protection/>
    </xf>
    <xf numFmtId="164" fontId="1" fillId="0" borderId="16" xfId="0" applyNumberFormat="1" applyFont="1" applyFill="1" applyBorder="1" applyAlignment="1" applyProtection="1">
      <alignment horizontal="center"/>
      <protection/>
    </xf>
    <xf numFmtId="0" fontId="1" fillId="0" borderId="2" xfId="0" applyFont="1" applyFill="1" applyBorder="1" applyAlignment="1" applyProtection="1">
      <alignment/>
      <protection/>
    </xf>
    <xf numFmtId="169" fontId="1" fillId="0" borderId="2" xfId="15" applyNumberFormat="1" applyFont="1" applyFill="1" applyBorder="1" applyAlignment="1" applyProtection="1">
      <alignment/>
      <protection/>
    </xf>
    <xf numFmtId="0" fontId="1" fillId="3" borderId="0" xfId="0" applyFont="1" applyFill="1" applyAlignment="1" applyProtection="1">
      <alignment/>
      <protection/>
    </xf>
    <xf numFmtId="0" fontId="8" fillId="3" borderId="0" xfId="0" applyFont="1" applyFill="1" applyAlignment="1" applyProtection="1">
      <alignment/>
      <protection/>
    </xf>
    <xf numFmtId="0" fontId="15" fillId="0" borderId="0" xfId="0" applyFont="1" applyFill="1" applyAlignment="1">
      <alignment/>
    </xf>
    <xf numFmtId="43" fontId="15" fillId="0" borderId="0" xfId="15" applyNumberFormat="1" applyFont="1" applyAlignment="1">
      <alignment/>
    </xf>
    <xf numFmtId="43" fontId="3" fillId="0" borderId="6" xfId="15" applyNumberFormat="1" applyFont="1" applyBorder="1" applyAlignment="1">
      <alignment/>
    </xf>
    <xf numFmtId="0" fontId="3" fillId="0" borderId="0" xfId="0" applyFont="1" applyFill="1" applyBorder="1" applyAlignment="1">
      <alignment horizontal="center"/>
    </xf>
    <xf numFmtId="43" fontId="3" fillId="0" borderId="0" xfId="0" applyNumberFormat="1" applyFont="1" applyFill="1" applyBorder="1" applyAlignment="1">
      <alignment horizontal="center"/>
    </xf>
    <xf numFmtId="0" fontId="3" fillId="0" borderId="0" xfId="0" applyFont="1" applyFill="1" applyAlignment="1">
      <alignment horizontal="center"/>
    </xf>
    <xf numFmtId="43" fontId="3" fillId="0" borderId="0" xfId="15" applyFont="1" applyFill="1" applyAlignment="1">
      <alignment horizontal="center"/>
    </xf>
    <xf numFmtId="164" fontId="0" fillId="0" borderId="0" xfId="0" applyNumberFormat="1" applyFont="1" applyFill="1" applyBorder="1" applyAlignment="1">
      <alignment horizontal="center"/>
    </xf>
    <xf numFmtId="43" fontId="0" fillId="0" borderId="0" xfId="0" applyNumberFormat="1" applyFont="1" applyFill="1" applyBorder="1" applyAlignment="1">
      <alignment/>
    </xf>
    <xf numFmtId="0" fontId="0" fillId="0" borderId="0" xfId="0" applyFont="1" applyFill="1" applyAlignment="1">
      <alignment/>
    </xf>
    <xf numFmtId="43" fontId="0" fillId="0" borderId="0" xfId="0" applyNumberFormat="1" applyFont="1" applyFill="1" applyAlignment="1">
      <alignment/>
    </xf>
    <xf numFmtId="2" fontId="0" fillId="0" borderId="0" xfId="0" applyNumberFormat="1" applyFont="1" applyFill="1" applyAlignment="1">
      <alignment/>
    </xf>
    <xf numFmtId="43" fontId="0" fillId="0" borderId="0" xfId="15" applyFont="1" applyFill="1" applyAlignment="1">
      <alignment/>
    </xf>
    <xf numFmtId="0" fontId="3" fillId="0" borderId="0" xfId="0" applyFont="1" applyFill="1" applyAlignment="1">
      <alignment/>
    </xf>
    <xf numFmtId="164" fontId="3" fillId="0" borderId="0" xfId="0" applyNumberFormat="1" applyFont="1" applyFill="1" applyBorder="1" applyAlignment="1">
      <alignment horizontal="center"/>
    </xf>
    <xf numFmtId="43" fontId="3" fillId="0" borderId="0" xfId="0" applyNumberFormat="1" applyFont="1" applyFill="1" applyBorder="1" applyAlignment="1">
      <alignment/>
    </xf>
    <xf numFmtId="43" fontId="3" fillId="0" borderId="0" xfId="15" applyFont="1" applyFill="1" applyBorder="1" applyAlignment="1">
      <alignment/>
    </xf>
    <xf numFmtId="0" fontId="0" fillId="0" borderId="0" xfId="0" applyFont="1" applyFill="1" applyBorder="1" applyAlignment="1">
      <alignment/>
    </xf>
    <xf numFmtId="38" fontId="0" fillId="0" borderId="0" xfId="0" applyNumberFormat="1" applyFont="1" applyFill="1" applyBorder="1" applyAlignment="1">
      <alignment/>
    </xf>
    <xf numFmtId="164" fontId="0" fillId="0" borderId="0" xfId="0" applyNumberFormat="1" applyFont="1" applyFill="1" applyBorder="1" applyAlignment="1">
      <alignment/>
    </xf>
    <xf numFmtId="0" fontId="5" fillId="7" borderId="18" xfId="0" applyFont="1" applyFill="1" applyBorder="1" applyAlignment="1">
      <alignment horizontal="center"/>
    </xf>
    <xf numFmtId="43" fontId="0" fillId="0" borderId="23" xfId="15" applyFont="1" applyFill="1" applyBorder="1" applyAlignment="1">
      <alignment horizontal="center"/>
    </xf>
    <xf numFmtId="43" fontId="0" fillId="0" borderId="24" xfId="15" applyFont="1" applyFill="1" applyBorder="1" applyAlignment="1">
      <alignment horizontal="center"/>
    </xf>
    <xf numFmtId="43" fontId="0" fillId="0" borderId="25" xfId="15" applyFont="1" applyFill="1" applyBorder="1" applyAlignment="1">
      <alignment horizontal="center"/>
    </xf>
    <xf numFmtId="43" fontId="0" fillId="0" borderId="0" xfId="0" applyNumberFormat="1" applyAlignment="1">
      <alignment/>
    </xf>
    <xf numFmtId="43" fontId="3" fillId="0" borderId="0" xfId="0" applyNumberFormat="1" applyFont="1" applyAlignment="1">
      <alignment/>
    </xf>
    <xf numFmtId="43" fontId="28" fillId="3" borderId="0" xfId="15" applyFont="1" applyFill="1" applyAlignment="1" applyProtection="1">
      <alignment horizontal="right"/>
      <protection/>
    </xf>
    <xf numFmtId="43" fontId="29" fillId="3" borderId="0" xfId="15" applyFont="1" applyFill="1" applyAlignment="1" applyProtection="1">
      <alignment horizontal="right"/>
      <protection/>
    </xf>
    <xf numFmtId="43" fontId="28" fillId="0" borderId="0" xfId="15" applyFont="1" applyFill="1" applyAlignment="1" applyProtection="1">
      <alignment horizontal="right"/>
      <protection/>
    </xf>
    <xf numFmtId="0" fontId="1" fillId="3" borderId="0" xfId="0" applyFont="1" applyFill="1" applyAlignment="1" applyProtection="1">
      <alignment horizontal="center"/>
      <protection/>
    </xf>
    <xf numFmtId="0" fontId="29" fillId="3" borderId="0" xfId="0" applyFont="1" applyFill="1" applyAlignment="1" applyProtection="1">
      <alignment horizontal="center"/>
      <protection/>
    </xf>
    <xf numFmtId="0" fontId="28" fillId="0" borderId="0" xfId="0" applyFont="1" applyFill="1" applyAlignment="1" applyProtection="1">
      <alignment horizontal="center"/>
      <protection/>
    </xf>
    <xf numFmtId="0" fontId="26" fillId="0" borderId="0" xfId="0" applyFont="1" applyFill="1" applyAlignment="1">
      <alignment horizontal="left"/>
    </xf>
    <xf numFmtId="43" fontId="1" fillId="0" borderId="3" xfId="15" applyNumberFormat="1" applyFont="1" applyFill="1" applyBorder="1" applyAlignment="1" applyProtection="1">
      <alignment/>
      <protection/>
    </xf>
    <xf numFmtId="43" fontId="1" fillId="0" borderId="26" xfId="15" applyNumberFormat="1" applyFont="1" applyFill="1" applyBorder="1" applyAlignment="1" applyProtection="1">
      <alignment/>
      <protection/>
    </xf>
    <xf numFmtId="43" fontId="1" fillId="0" borderId="0" xfId="15" applyNumberFormat="1" applyFont="1" applyFill="1" applyBorder="1" applyAlignment="1" applyProtection="1">
      <alignment/>
      <protection/>
    </xf>
    <xf numFmtId="43" fontId="1" fillId="0" borderId="14" xfId="15" applyNumberFormat="1" applyFont="1" applyFill="1" applyBorder="1" applyAlignment="1" applyProtection="1">
      <alignment/>
      <protection/>
    </xf>
    <xf numFmtId="43" fontId="1" fillId="0" borderId="2" xfId="15" applyNumberFormat="1" applyFont="1" applyFill="1" applyBorder="1" applyAlignment="1" applyProtection="1">
      <alignment/>
      <protection/>
    </xf>
    <xf numFmtId="43" fontId="1" fillId="0" borderId="17" xfId="15" applyNumberFormat="1" applyFont="1" applyFill="1" applyBorder="1" applyAlignment="1" applyProtection="1">
      <alignment/>
      <protection/>
    </xf>
    <xf numFmtId="4" fontId="8" fillId="2" borderId="1" xfId="15" applyNumberFormat="1" applyFont="1" applyFill="1" applyBorder="1" applyAlignment="1" applyProtection="1">
      <alignment/>
      <protection/>
    </xf>
    <xf numFmtId="164" fontId="0" fillId="0" borderId="0" xfId="0" applyNumberFormat="1" applyAlignment="1">
      <alignment horizontal="center"/>
    </xf>
    <xf numFmtId="169" fontId="20" fillId="0" borderId="27" xfId="15" applyNumberFormat="1" applyFont="1" applyBorder="1" applyAlignment="1">
      <alignment horizontal="center"/>
    </xf>
    <xf numFmtId="169" fontId="20" fillId="0" borderId="28" xfId="15" applyNumberFormat="1" applyFont="1" applyBorder="1" applyAlignment="1">
      <alignment horizontal="center"/>
    </xf>
    <xf numFmtId="0" fontId="1" fillId="0" borderId="13" xfId="15" applyNumberFormat="1" applyFont="1" applyBorder="1" applyAlignment="1" applyProtection="1">
      <alignment horizontal="left"/>
      <protection/>
    </xf>
    <xf numFmtId="0" fontId="20" fillId="0" borderId="6" xfId="0" applyFont="1" applyBorder="1" applyAlignment="1">
      <alignment horizontal="center"/>
    </xf>
    <xf numFmtId="0" fontId="20" fillId="0" borderId="28" xfId="0" applyFont="1" applyBorder="1" applyAlignment="1">
      <alignment horizontal="center"/>
    </xf>
    <xf numFmtId="0" fontId="24" fillId="0" borderId="27" xfId="0" applyFont="1" applyBorder="1" applyAlignment="1">
      <alignment wrapText="1"/>
    </xf>
    <xf numFmtId="0" fontId="24" fillId="0" borderId="6" xfId="0" applyFont="1" applyBorder="1" applyAlignment="1">
      <alignment wrapText="1"/>
    </xf>
    <xf numFmtId="0" fontId="24" fillId="0" borderId="28" xfId="0" applyFont="1" applyBorder="1" applyAlignment="1">
      <alignment wrapText="1"/>
    </xf>
    <xf numFmtId="0" fontId="24" fillId="0" borderId="4" xfId="0" applyFont="1" applyBorder="1" applyAlignment="1">
      <alignment horizontal="left" wrapText="1"/>
    </xf>
    <xf numFmtId="0" fontId="0" fillId="0" borderId="0" xfId="0" applyFont="1" applyBorder="1" applyAlignment="1">
      <alignment horizontal="left" wrapText="1"/>
    </xf>
    <xf numFmtId="0" fontId="0" fillId="0" borderId="12" xfId="0" applyFont="1" applyBorder="1" applyAlignment="1">
      <alignment horizontal="left" wrapText="1"/>
    </xf>
    <xf numFmtId="0" fontId="24" fillId="0" borderId="0" xfId="0" applyFont="1" applyBorder="1" applyAlignment="1">
      <alignment horizontal="left" wrapText="1"/>
    </xf>
    <xf numFmtId="0" fontId="24" fillId="0" borderId="12" xfId="0" applyFont="1" applyBorder="1" applyAlignment="1">
      <alignment horizontal="left" wrapText="1"/>
    </xf>
    <xf numFmtId="0" fontId="27" fillId="0" borderId="0" xfId="0" applyFont="1" applyBorder="1" applyAlignment="1">
      <alignment horizontal="left"/>
    </xf>
    <xf numFmtId="169" fontId="14" fillId="0" borderId="29" xfId="15" applyNumberFormat="1" applyFont="1" applyBorder="1" applyAlignment="1">
      <alignment horizontal="center"/>
    </xf>
    <xf numFmtId="169" fontId="14" fillId="0" borderId="30" xfId="15" applyNumberFormat="1" applyFont="1" applyBorder="1" applyAlignment="1">
      <alignment horizontal="center"/>
    </xf>
    <xf numFmtId="0" fontId="20" fillId="0" borderId="11" xfId="0" applyFont="1" applyBorder="1" applyAlignment="1">
      <alignment horizontal="center"/>
    </xf>
    <xf numFmtId="0" fontId="20" fillId="0" borderId="10" xfId="0" applyFont="1" applyBorder="1" applyAlignment="1">
      <alignment horizontal="center"/>
    </xf>
    <xf numFmtId="0" fontId="23" fillId="0" borderId="29" xfId="0" applyFont="1" applyBorder="1" applyAlignment="1">
      <alignment horizontal="center"/>
    </xf>
    <xf numFmtId="0" fontId="23" fillId="0" borderId="30" xfId="0" applyFont="1" applyBorder="1" applyAlignment="1">
      <alignment horizontal="center"/>
    </xf>
    <xf numFmtId="169" fontId="15" fillId="0" borderId="3" xfId="15" applyNumberFormat="1" applyFont="1" applyBorder="1" applyAlignment="1">
      <alignment horizontal="center"/>
    </xf>
    <xf numFmtId="0" fontId="21" fillId="0" borderId="29" xfId="0" applyFont="1" applyBorder="1" applyAlignment="1">
      <alignment horizontal="center"/>
    </xf>
    <xf numFmtId="0" fontId="21" fillId="0" borderId="30" xfId="0" applyFont="1" applyBorder="1" applyAlignment="1">
      <alignment horizontal="center"/>
    </xf>
    <xf numFmtId="0" fontId="1" fillId="0" borderId="0" xfId="15" applyNumberFormat="1" applyFont="1" applyBorder="1" applyAlignment="1" applyProtection="1">
      <alignment horizontal="left"/>
      <protection/>
    </xf>
    <xf numFmtId="43" fontId="25" fillId="6" borderId="22" xfId="15" applyFont="1" applyFill="1" applyBorder="1" applyAlignment="1" applyProtection="1">
      <alignment horizontal="center"/>
      <protection/>
    </xf>
    <xf numFmtId="43" fontId="25" fillId="6" borderId="3" xfId="15" applyFont="1" applyFill="1" applyBorder="1" applyAlignment="1" applyProtection="1">
      <alignment horizontal="center"/>
      <protection/>
    </xf>
    <xf numFmtId="43" fontId="25" fillId="6" borderId="26" xfId="15" applyFont="1" applyFill="1" applyBorder="1" applyAlignment="1" applyProtection="1">
      <alignment horizontal="center"/>
      <protection/>
    </xf>
    <xf numFmtId="43" fontId="4" fillId="6" borderId="16" xfId="15" applyFont="1" applyFill="1" applyBorder="1" applyAlignment="1" applyProtection="1">
      <alignment horizontal="center"/>
      <protection/>
    </xf>
    <xf numFmtId="43" fontId="4" fillId="6" borderId="2" xfId="15" applyFont="1" applyFill="1" applyBorder="1" applyAlignment="1" applyProtection="1">
      <alignment horizontal="center"/>
      <protection/>
    </xf>
    <xf numFmtId="43" fontId="4" fillId="6" borderId="17" xfId="15" applyFont="1" applyFill="1" applyBorder="1" applyAlignment="1" applyProtection="1">
      <alignment horizontal="center"/>
      <protection/>
    </xf>
    <xf numFmtId="0" fontId="1" fillId="0" borderId="13" xfId="15" applyNumberFormat="1" applyFont="1" applyBorder="1" applyAlignment="1" applyProtection="1">
      <alignment horizontal="left" indent="5"/>
      <protection/>
    </xf>
    <xf numFmtId="0" fontId="1" fillId="0" borderId="0" xfId="15" applyNumberFormat="1" applyFont="1" applyBorder="1" applyAlignment="1" applyProtection="1">
      <alignment horizontal="left" indent="5"/>
      <protection/>
    </xf>
    <xf numFmtId="43" fontId="25" fillId="4" borderId="22" xfId="15" applyFont="1" applyFill="1" applyBorder="1" applyAlignment="1" applyProtection="1">
      <alignment horizontal="center"/>
      <protection/>
    </xf>
    <xf numFmtId="43" fontId="25" fillId="4" borderId="3" xfId="15" applyFont="1" applyFill="1" applyBorder="1" applyAlignment="1" applyProtection="1">
      <alignment horizontal="center"/>
      <protection/>
    </xf>
    <xf numFmtId="43" fontId="25" fillId="4" borderId="26" xfId="15" applyFont="1" applyFill="1" applyBorder="1" applyAlignment="1" applyProtection="1">
      <alignment horizontal="center"/>
      <protection/>
    </xf>
    <xf numFmtId="43" fontId="4" fillId="4" borderId="16" xfId="15" applyFont="1" applyFill="1" applyBorder="1" applyAlignment="1" applyProtection="1">
      <alignment horizontal="center"/>
      <protection/>
    </xf>
    <xf numFmtId="43" fontId="4" fillId="4" borderId="2" xfId="15" applyFont="1" applyFill="1" applyBorder="1" applyAlignment="1" applyProtection="1">
      <alignment horizontal="center"/>
      <protection/>
    </xf>
    <xf numFmtId="43" fontId="4" fillId="4" borderId="17" xfId="15" applyFont="1" applyFill="1" applyBorder="1" applyAlignment="1" applyProtection="1">
      <alignment horizontal="center"/>
      <protection/>
    </xf>
    <xf numFmtId="43" fontId="25" fillId="5" borderId="22" xfId="15" applyFont="1" applyFill="1" applyBorder="1" applyAlignment="1" applyProtection="1">
      <alignment horizontal="center"/>
      <protection/>
    </xf>
    <xf numFmtId="43" fontId="25" fillId="5" borderId="3" xfId="15" applyFont="1" applyFill="1" applyBorder="1" applyAlignment="1" applyProtection="1">
      <alignment horizontal="center"/>
      <protection/>
    </xf>
    <xf numFmtId="43" fontId="25" fillId="5" borderId="26" xfId="15" applyFont="1" applyFill="1" applyBorder="1" applyAlignment="1" applyProtection="1">
      <alignment horizontal="center"/>
      <protection/>
    </xf>
    <xf numFmtId="43" fontId="4" fillId="5" borderId="16" xfId="15" applyFont="1" applyFill="1" applyBorder="1" applyAlignment="1" applyProtection="1">
      <alignment horizontal="center"/>
      <protection/>
    </xf>
    <xf numFmtId="43" fontId="4" fillId="5" borderId="2" xfId="15" applyFont="1" applyFill="1" applyBorder="1" applyAlignment="1" applyProtection="1">
      <alignment horizontal="center"/>
      <protection/>
    </xf>
    <xf numFmtId="43" fontId="4" fillId="5" borderId="17" xfId="15" applyFont="1" applyFill="1" applyBorder="1" applyAlignment="1" applyProtection="1">
      <alignment horizontal="center"/>
      <protection/>
    </xf>
    <xf numFmtId="0" fontId="1" fillId="0" borderId="0" xfId="15" applyNumberFormat="1" applyFont="1" applyBorder="1" applyAlignment="1" applyProtection="1">
      <alignment horizontal="left" vertical="center"/>
      <protection/>
    </xf>
    <xf numFmtId="43" fontId="1" fillId="0" borderId="0" xfId="15" applyFont="1" applyBorder="1" applyAlignment="1" applyProtection="1">
      <alignment vertical="center"/>
      <protection/>
    </xf>
    <xf numFmtId="43" fontId="1" fillId="0" borderId="14" xfId="15" applyFont="1" applyFill="1" applyBorder="1" applyAlignment="1" applyProtection="1">
      <alignment vertical="center"/>
      <protection/>
    </xf>
    <xf numFmtId="43" fontId="28" fillId="3" borderId="0" xfId="15" applyFont="1" applyFill="1" applyAlignment="1" applyProtection="1">
      <alignment horizontal="right" vertical="center"/>
      <protection/>
    </xf>
    <xf numFmtId="0" fontId="28" fillId="3" borderId="0" xfId="0" applyFont="1" applyFill="1" applyAlignment="1" applyProtection="1">
      <alignment horizontal="center" vertical="center"/>
      <protection/>
    </xf>
    <xf numFmtId="0" fontId="1" fillId="3" borderId="0" xfId="0" applyFont="1" applyFill="1" applyAlignment="1" applyProtection="1">
      <alignment vertical="center"/>
      <protection/>
    </xf>
    <xf numFmtId="164" fontId="1" fillId="0" borderId="13"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169" fontId="1" fillId="0" borderId="0" xfId="15" applyNumberFormat="1" applyFont="1" applyFill="1" applyBorder="1" applyAlignment="1" applyProtection="1">
      <alignment vertical="center"/>
      <protection/>
    </xf>
    <xf numFmtId="43" fontId="1" fillId="0" borderId="0" xfId="15" applyNumberFormat="1" applyFont="1" applyFill="1" applyBorder="1" applyAlignment="1" applyProtection="1">
      <alignment vertical="center"/>
      <protection/>
    </xf>
    <xf numFmtId="43" fontId="1" fillId="0" borderId="14" xfId="15" applyNumberFormat="1" applyFont="1" applyFill="1" applyBorder="1" applyAlignment="1" applyProtection="1">
      <alignment vertical="center"/>
      <protection/>
    </xf>
    <xf numFmtId="0" fontId="1" fillId="0" borderId="0" xfId="0" applyFont="1" applyAlignment="1" applyProtection="1">
      <alignment vertical="center"/>
      <protection/>
    </xf>
    <xf numFmtId="0" fontId="10" fillId="0" borderId="13" xfId="20" applyNumberFormat="1" applyFont="1" applyBorder="1" applyAlignment="1" applyProtection="1">
      <alignment horizontal="left" vertical="center" indent="2"/>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ill>
        <patternFill>
          <bgColor rgb="FFFFFFCC"/>
        </patternFill>
      </fill>
      <border>
        <top style="thin"/>
        <bottom style="thin">
          <color rgb="FF000000"/>
        </bottom>
      </border>
    </dxf>
    <dxf>
      <font>
        <color rgb="FF0000FF"/>
      </font>
      <fill>
        <patternFill>
          <bgColor rgb="FFFFFFCC"/>
        </patternFill>
      </fill>
      <border>
        <top style="thin"/>
        <bottom style="thin">
          <color rgb="FF000000"/>
        </bottom>
      </border>
    </dxf>
    <dxf>
      <font>
        <color rgb="FF800000"/>
      </font>
      <fill>
        <patternFill>
          <bgColor rgb="FFFFFFCC"/>
        </patternFill>
      </fill>
      <border>
        <top style="thin"/>
        <bottom style="thin">
          <color rgb="FF000000"/>
        </bottom>
      </border>
    </dxf>
    <dxf>
      <font>
        <color rgb="FF008000"/>
      </font>
      <fill>
        <patternFill>
          <bgColor rgb="FFFFFFCC"/>
        </patternFill>
      </fill>
      <border>
        <top style="thin"/>
        <bottom style="thin">
          <color rgb="FF000000"/>
        </bottom>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ble%2015%20-%20Source%20File%20with%20Quer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DGET\2006-2008%20Budget\$%20Direct%20Aid%20Budget%20Spreadsheet\Latest%20-%20DABS%20with%20Gov's%20Budget%20Base%20(Census%20&amp;%20K-3%20Includ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UDGET\2004-2006%20Budget\$%20Direct%20Aid%20Budget%20Spreadsheet\LATEST%20DABS%20-%20Governor's%20Caboose%20-%20with%20Portsmouth%20adj%20census%20(Updated%20Gov's%20Base%20Dec%2028,%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5"/>
      <sheetName val="Calculation"/>
      <sheetName val="State Rev"/>
      <sheetName val="State BOY"/>
      <sheetName val="State EOY"/>
      <sheetName val="State - Schedule G"/>
      <sheetName val="Exp ded from State"/>
      <sheetName val="State Regional Rev"/>
      <sheetName val="State Sales Tax"/>
      <sheetName val="Federal Rev"/>
      <sheetName val="Fed BOY"/>
      <sheetName val="Fed EOY"/>
      <sheetName val="Fed - Schedule G"/>
      <sheetName val="E-rate deduct"/>
      <sheetName val="Local tuition deduct"/>
      <sheetName val="Revenue Souce Codes"/>
      <sheetName val="EXPENDITURES"/>
      <sheetName val="EOY ADM"/>
      <sheetName val="SALES TA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DGET VARIABLES"/>
      <sheetName val="SALARY DATA"/>
      <sheetName val="FISCAL AGENTS"/>
      <sheetName val="QUERY FOR PPAs"/>
      <sheetName val="PPA"/>
      <sheetName val="FM"/>
      <sheetName val="COMP INDEX"/>
      <sheetName val="ADM"/>
      <sheetName val="FREE LUNCH"/>
      <sheetName val="SOQ CALCS"/>
      <sheetName val="BENEFITS"/>
      <sheetName val="ESL"/>
      <sheetName val="REMEDIAL SUMMER SCHOOL"/>
      <sheetName val="LOTTERY"/>
      <sheetName val="SCHOOL CONSTRUCTION"/>
      <sheetName val="COMP SUPP"/>
      <sheetName val="CS Queries"/>
      <sheetName val="ENROLLMENT LOSS"/>
      <sheetName val="AT RISK"/>
      <sheetName val="K-3 PRIMARY CLASS SIZE"/>
      <sheetName val="AT RISK 4 YR OLDS"/>
      <sheetName val="EARLY READING"/>
      <sheetName val="ISAEP"/>
      <sheetName val="ALGEBRA READINESS"/>
      <sheetName val="VPSA TECHNOLOGY"/>
      <sheetName val="TUITION"/>
      <sheetName val="SCHOOL BREAKFAST"/>
      <sheetName val="ALTERNATIVE ED"/>
      <sheetName val="GOVS SCHOOL"/>
      <sheetName val="SUPPLEMENTAL BASIC AID"/>
      <sheetName val="VOCATIONAL ED - CAT"/>
      <sheetName val="HOMEBOUND"/>
      <sheetName val="HOSPITALS"/>
      <sheetName val="SPEC ED JAILS"/>
      <sheetName val="ADULT ED"/>
      <sheetName val="FOSTER CARE"/>
      <sheetName val="ELEC CLASSROOM"/>
      <sheetName val="SCHOOL LUNCH"/>
      <sheetName val="DISTRIBUTION SUMMARY"/>
      <sheetName val="BASE COMPARISON"/>
      <sheetName val="Increment Tracking Link"/>
      <sheetName val="Required Local Effort"/>
      <sheetName val="Balance DABS to Act"/>
      <sheetName val="Transfers"/>
      <sheetName val="FINAL ACCESS 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NGES"/>
      <sheetName val="BUDGET VARIABLES"/>
      <sheetName val="SALARY DATA"/>
      <sheetName val="FISCAL AGENTS"/>
      <sheetName val="QUERY FOR PPAs"/>
      <sheetName val="PPA"/>
      <sheetName val="FM"/>
      <sheetName val="ADM"/>
      <sheetName val="COMP INDEX"/>
      <sheetName val="FREE LUNCH"/>
      <sheetName val="CALC SUMMARY"/>
      <sheetName val="NON-INSTRUCTIONAL CAPS"/>
      <sheetName val="BENEFITS"/>
      <sheetName val="SALARY SUPPLEMENT"/>
      <sheetName val="ENROLLMENT LOSS"/>
      <sheetName val="REMEDIAL SUMMER SCHOOL"/>
      <sheetName val="LOTTERY"/>
      <sheetName val="AT RISK"/>
      <sheetName val="K-3 PRIMARY CLASS SIZE"/>
      <sheetName val="AT RISK 4 YR OLDS"/>
      <sheetName val="EARLY READING"/>
      <sheetName val="SOL REMEDIATION"/>
      <sheetName val="BOE TECHNOLOGY POSITIONS"/>
      <sheetName val="ELEM RESOURCE TCHRS"/>
      <sheetName val="SCHOOL CONSTRUCTION"/>
      <sheetName val="ISAEP"/>
      <sheetName val="ALGEBRA READINESS"/>
      <sheetName val="STU ACH GRANTS &amp; COMP SUPPLEM"/>
      <sheetName val="VPSA TECHNOLOGY"/>
      <sheetName val="VOCATIONAL ED - CAT"/>
      <sheetName val="HOMEBOUND"/>
      <sheetName val="HOSPITALS"/>
      <sheetName val="TUITION"/>
      <sheetName val="SPEC ED JAILS"/>
      <sheetName val="ADULT ED"/>
      <sheetName val="FOSTER CARE"/>
      <sheetName val="ALTERNATIVE ED"/>
      <sheetName val="ESL"/>
      <sheetName val="ELEC CLASSROOM"/>
      <sheetName val="SCHOOL NUTRITION"/>
      <sheetName val="GOV'S SCHOOL"/>
      <sheetName val="DISTRIBUTION SUMMARY"/>
      <sheetName val="BASE COMPARISON"/>
      <sheetName val="TRANSFERS"/>
      <sheetName val="PROBUD LINK"/>
      <sheetName val="FINAL ACCESS DATA"/>
      <sheetName val="REQUIRED LOCAL EFFORT"/>
      <sheetName val="BENEFITS FOR RLE"/>
      <sheetName val="New SOQ Remediation"/>
      <sheetName val="Basic Aid Suppleme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oe.virginia.gov/VDOE/Finance/Budget/cdc/asr_other.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oe.virginia.gov/VDOE/Finance/Budget/cdc/asr_other.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oe.virginia.gov/VDOE/Finance/Budget/cdc/asr_other.html"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7"/>
  <dimension ref="A1:IV189"/>
  <sheetViews>
    <sheetView tabSelected="1" zoomScale="90" zoomScaleNormal="90" workbookViewId="0" topLeftCell="A1">
      <pane xSplit="2" ySplit="9" topLeftCell="C10" activePane="bottomRight" state="frozen"/>
      <selection pane="topLeft" activeCell="A5" sqref="A5"/>
      <selection pane="topRight" activeCell="A5" sqref="A5"/>
      <selection pane="bottomLeft" activeCell="A5" sqref="A5"/>
      <selection pane="bottomRight" activeCell="A3" sqref="A3:B3"/>
    </sheetView>
  </sheetViews>
  <sheetFormatPr defaultColWidth="9.140625" defaultRowHeight="12.75"/>
  <cols>
    <col min="1" max="1" width="4.00390625" style="12" bestFit="1" customWidth="1"/>
    <col min="2" max="2" width="16.00390625" style="8" customWidth="1"/>
    <col min="3" max="3" width="14.421875" style="9" customWidth="1"/>
    <col min="4" max="4" width="19.421875" style="9" bestFit="1" customWidth="1"/>
    <col min="5" max="5" width="10.421875" style="9" bestFit="1" customWidth="1"/>
    <col min="6" max="6" width="19.140625" style="9" bestFit="1" customWidth="1"/>
    <col min="7" max="7" width="9.7109375" style="9" bestFit="1" customWidth="1"/>
    <col min="8" max="8" width="17.7109375" style="9" bestFit="1" customWidth="1"/>
    <col min="9" max="9" width="8.00390625" style="9" customWidth="1"/>
    <col min="10" max="10" width="17.57421875" style="9" bestFit="1" customWidth="1"/>
    <col min="11" max="11" width="7.28125" style="9" customWidth="1"/>
    <col min="12" max="12" width="20.57421875" style="9" bestFit="1" customWidth="1"/>
    <col min="13" max="13" width="13.00390625" style="9" bestFit="1" customWidth="1"/>
    <col min="14" max="14" width="9.140625" style="129" customWidth="1"/>
    <col min="15" max="15" width="9.140625" style="79" customWidth="1"/>
    <col min="16" max="16" width="13.57421875" style="79" bestFit="1" customWidth="1"/>
    <col min="17" max="17" width="5.140625" style="79" customWidth="1"/>
    <col min="18" max="18" width="16.57421875" style="79" bestFit="1" customWidth="1"/>
    <col min="19" max="19" width="17.28125" style="79" bestFit="1" customWidth="1"/>
    <col min="20" max="31" width="9.140625" style="129" customWidth="1"/>
    <col min="32" max="16384" width="9.140625" style="8" customWidth="1"/>
  </cols>
  <sheetData>
    <row r="1" spans="1:31" ht="12.75">
      <c r="A1" s="7" t="s">
        <v>284</v>
      </c>
      <c r="N1" s="46"/>
      <c r="O1" s="47"/>
      <c r="P1" s="47"/>
      <c r="Q1" s="47"/>
      <c r="R1" s="47"/>
      <c r="S1" s="47"/>
      <c r="T1" s="46"/>
      <c r="U1" s="46"/>
      <c r="V1" s="46"/>
      <c r="W1" s="46"/>
      <c r="X1" s="46"/>
      <c r="Y1" s="46"/>
      <c r="Z1" s="46"/>
      <c r="AA1" s="46"/>
      <c r="AB1" s="46"/>
      <c r="AC1" s="46"/>
      <c r="AD1" s="46"/>
      <c r="AE1" s="46"/>
    </row>
    <row r="2" spans="1:31" ht="13.5" customHeight="1">
      <c r="A2" s="7" t="s">
        <v>448</v>
      </c>
      <c r="N2" s="46"/>
      <c r="O2" s="47"/>
      <c r="P2" s="47"/>
      <c r="Q2" s="47"/>
      <c r="R2" s="47"/>
      <c r="S2" s="47"/>
      <c r="T2" s="46"/>
      <c r="U2" s="46"/>
      <c r="V2" s="46"/>
      <c r="W2" s="46"/>
      <c r="X2" s="46"/>
      <c r="Y2" s="46"/>
      <c r="Z2" s="46"/>
      <c r="AA2" s="46"/>
      <c r="AB2" s="46"/>
      <c r="AC2" s="46"/>
      <c r="AD2" s="46"/>
      <c r="AE2" s="46"/>
    </row>
    <row r="3" spans="1:31" ht="13.5" customHeight="1">
      <c r="A3" s="183" t="s">
        <v>452</v>
      </c>
      <c r="B3" s="183"/>
      <c r="C3" s="10"/>
      <c r="D3" s="10"/>
      <c r="E3" s="10"/>
      <c r="F3" s="10"/>
      <c r="G3" s="10"/>
      <c r="H3" s="10"/>
      <c r="I3" s="10"/>
      <c r="J3" s="10"/>
      <c r="K3" s="10"/>
      <c r="L3" s="10"/>
      <c r="M3" s="10"/>
      <c r="N3" s="46"/>
      <c r="O3" s="47"/>
      <c r="P3" s="47"/>
      <c r="Q3" s="47"/>
      <c r="R3" s="47"/>
      <c r="S3" s="47"/>
      <c r="T3" s="46"/>
      <c r="U3" s="46"/>
      <c r="V3" s="46"/>
      <c r="W3" s="46"/>
      <c r="X3" s="46"/>
      <c r="Y3" s="46"/>
      <c r="Z3" s="46"/>
      <c r="AA3" s="46"/>
      <c r="AB3" s="46"/>
      <c r="AC3" s="46"/>
      <c r="AD3" s="46"/>
      <c r="AE3" s="46"/>
    </row>
    <row r="4" spans="1:31" ht="6.75" customHeight="1" thickBot="1">
      <c r="A4" s="11"/>
      <c r="C4" s="10"/>
      <c r="D4" s="10"/>
      <c r="E4" s="10"/>
      <c r="F4" s="10"/>
      <c r="G4" s="10"/>
      <c r="H4" s="10"/>
      <c r="I4" s="10"/>
      <c r="J4" s="10"/>
      <c r="K4" s="10"/>
      <c r="L4" s="10"/>
      <c r="M4" s="10"/>
      <c r="N4" s="46"/>
      <c r="O4" s="47"/>
      <c r="P4" s="47"/>
      <c r="Q4" s="47"/>
      <c r="R4" s="47"/>
      <c r="S4" s="47"/>
      <c r="T4" s="46"/>
      <c r="U4" s="46"/>
      <c r="V4" s="46"/>
      <c r="W4" s="46"/>
      <c r="X4" s="46"/>
      <c r="Y4" s="46"/>
      <c r="Z4" s="46"/>
      <c r="AA4" s="46"/>
      <c r="AB4" s="46"/>
      <c r="AC4" s="46"/>
      <c r="AD4" s="46"/>
      <c r="AE4" s="46"/>
    </row>
    <row r="5" spans="2:31" ht="12.75">
      <c r="B5" s="13"/>
      <c r="C5" s="14" t="s">
        <v>145</v>
      </c>
      <c r="D5" s="86"/>
      <c r="E5" s="14"/>
      <c r="F5" s="14"/>
      <c r="G5" s="14"/>
      <c r="H5" s="190"/>
      <c r="I5" s="190"/>
      <c r="J5" s="14"/>
      <c r="K5" s="14"/>
      <c r="L5" s="14"/>
      <c r="M5" s="14"/>
      <c r="N5" s="46"/>
      <c r="O5" s="47"/>
      <c r="P5" s="47"/>
      <c r="Q5" s="47"/>
      <c r="R5" s="47"/>
      <c r="S5" s="47"/>
      <c r="T5" s="46"/>
      <c r="U5" s="46"/>
      <c r="V5" s="46"/>
      <c r="W5" s="46"/>
      <c r="X5" s="46"/>
      <c r="Y5" s="46"/>
      <c r="Z5" s="46"/>
      <c r="AA5" s="46"/>
      <c r="AB5" s="46"/>
      <c r="AC5" s="46"/>
      <c r="AD5" s="46"/>
      <c r="AE5" s="46"/>
    </row>
    <row r="6" spans="3:31" ht="12.75">
      <c r="C6" s="15" t="s">
        <v>146</v>
      </c>
      <c r="D6" s="87"/>
      <c r="E6" s="7"/>
      <c r="F6" s="42"/>
      <c r="G6" s="43"/>
      <c r="H6" s="186" t="s">
        <v>147</v>
      </c>
      <c r="I6" s="187"/>
      <c r="J6" s="45"/>
      <c r="K6" s="30"/>
      <c r="L6" s="44"/>
      <c r="M6" s="44"/>
      <c r="N6" s="46"/>
      <c r="O6" s="47"/>
      <c r="P6" s="47"/>
      <c r="Q6" s="47"/>
      <c r="R6" s="47"/>
      <c r="S6" s="47"/>
      <c r="T6" s="46"/>
      <c r="U6" s="46"/>
      <c r="V6" s="46"/>
      <c r="W6" s="46"/>
      <c r="X6" s="46"/>
      <c r="Y6" s="46"/>
      <c r="Z6" s="46"/>
      <c r="AA6" s="46"/>
      <c r="AB6" s="46"/>
      <c r="AC6" s="46"/>
      <c r="AD6" s="46"/>
      <c r="AE6" s="46"/>
    </row>
    <row r="7" spans="3:31" ht="13.5" customHeight="1">
      <c r="C7" s="15" t="s">
        <v>148</v>
      </c>
      <c r="D7" s="191" t="s">
        <v>620</v>
      </c>
      <c r="E7" s="192"/>
      <c r="F7" s="170" t="s">
        <v>149</v>
      </c>
      <c r="G7" s="171"/>
      <c r="H7" s="173" t="s">
        <v>624</v>
      </c>
      <c r="I7" s="174"/>
      <c r="J7" s="188" t="s">
        <v>461</v>
      </c>
      <c r="K7" s="189"/>
      <c r="L7" s="184" t="s">
        <v>150</v>
      </c>
      <c r="M7" s="185"/>
      <c r="N7" s="46"/>
      <c r="O7" s="47"/>
      <c r="P7" s="47"/>
      <c r="Q7" s="47"/>
      <c r="R7" s="47"/>
      <c r="S7" s="47"/>
      <c r="T7" s="46"/>
      <c r="U7" s="46"/>
      <c r="V7" s="46"/>
      <c r="W7" s="46"/>
      <c r="X7" s="46"/>
      <c r="Y7" s="46"/>
      <c r="Z7" s="46"/>
      <c r="AA7" s="46"/>
      <c r="AB7" s="46"/>
      <c r="AC7" s="46"/>
      <c r="AD7" s="46"/>
      <c r="AE7" s="46"/>
    </row>
    <row r="8" spans="3:31" ht="12.75">
      <c r="C8" s="15" t="s">
        <v>151</v>
      </c>
      <c r="D8" s="88"/>
      <c r="E8" s="39" t="s">
        <v>152</v>
      </c>
      <c r="F8" s="16"/>
      <c r="G8" s="39" t="s">
        <v>152</v>
      </c>
      <c r="H8" s="17"/>
      <c r="I8" s="39" t="s">
        <v>152</v>
      </c>
      <c r="J8" s="16"/>
      <c r="K8" s="39" t="s">
        <v>152</v>
      </c>
      <c r="L8" s="16" t="s">
        <v>153</v>
      </c>
      <c r="M8" s="39" t="s">
        <v>154</v>
      </c>
      <c r="N8" s="46"/>
      <c r="O8" s="47"/>
      <c r="P8" s="47"/>
      <c r="Q8" s="47"/>
      <c r="R8" s="47"/>
      <c r="S8" s="47"/>
      <c r="T8" s="46"/>
      <c r="U8" s="46"/>
      <c r="V8" s="46"/>
      <c r="W8" s="46"/>
      <c r="X8" s="46"/>
      <c r="Y8" s="46"/>
      <c r="Z8" s="46"/>
      <c r="AA8" s="46"/>
      <c r="AB8" s="46"/>
      <c r="AC8" s="46"/>
      <c r="AD8" s="46"/>
      <c r="AE8" s="46"/>
    </row>
    <row r="9" spans="1:31" ht="17.25" customHeight="1" thickBot="1">
      <c r="A9" s="31">
        <f>'Fiscal Year 2005 Worksheet'!A5</f>
        <v>0</v>
      </c>
      <c r="B9" s="19" t="s">
        <v>290</v>
      </c>
      <c r="C9" s="18" t="s">
        <v>619</v>
      </c>
      <c r="D9" s="89" t="s">
        <v>155</v>
      </c>
      <c r="E9" s="40" t="s">
        <v>156</v>
      </c>
      <c r="F9" s="20" t="s">
        <v>155</v>
      </c>
      <c r="G9" s="40" t="s">
        <v>156</v>
      </c>
      <c r="H9" s="21" t="s">
        <v>155</v>
      </c>
      <c r="I9" s="40" t="s">
        <v>156</v>
      </c>
      <c r="J9" s="20" t="s">
        <v>155</v>
      </c>
      <c r="K9" s="40" t="s">
        <v>156</v>
      </c>
      <c r="L9" s="90" t="s">
        <v>627</v>
      </c>
      <c r="M9" s="41" t="s">
        <v>626</v>
      </c>
      <c r="N9" s="46"/>
      <c r="O9" s="47"/>
      <c r="P9" s="47"/>
      <c r="Q9" s="47"/>
      <c r="R9" s="47"/>
      <c r="S9" s="47"/>
      <c r="T9" s="46"/>
      <c r="U9" s="46"/>
      <c r="V9" s="46"/>
      <c r="W9" s="46"/>
      <c r="X9" s="46"/>
      <c r="Y9" s="46"/>
      <c r="Z9" s="46"/>
      <c r="AA9" s="46"/>
      <c r="AB9" s="46"/>
      <c r="AC9" s="46"/>
      <c r="AD9" s="46"/>
      <c r="AE9" s="46"/>
    </row>
    <row r="10" spans="2:31" ht="12.75">
      <c r="B10" s="7" t="s">
        <v>157</v>
      </c>
      <c r="N10" s="46"/>
      <c r="O10" s="47"/>
      <c r="P10" s="47"/>
      <c r="Q10" s="47"/>
      <c r="R10" s="47"/>
      <c r="S10" s="47"/>
      <c r="T10" s="46"/>
      <c r="U10" s="46"/>
      <c r="V10" s="46"/>
      <c r="W10" s="46"/>
      <c r="X10" s="46"/>
      <c r="Y10" s="46"/>
      <c r="Z10" s="46"/>
      <c r="AA10" s="46"/>
      <c r="AB10" s="46"/>
      <c r="AC10" s="46"/>
      <c r="AD10" s="46"/>
      <c r="AE10" s="46"/>
    </row>
    <row r="11" spans="1:31" ht="12.75">
      <c r="A11" s="22">
        <v>1</v>
      </c>
      <c r="B11" s="8" t="s">
        <v>285</v>
      </c>
      <c r="C11" s="130">
        <f>VLOOKUP(A11,'Source Data'!$A$2:$Q$137,17,FALSE)</f>
        <v>5142.27</v>
      </c>
      <c r="D11" s="9">
        <f>SUM(L11-J11-H11-F11)</f>
        <v>13540899.970000032</v>
      </c>
      <c r="E11" s="9">
        <f>SUM(D11/C11)</f>
        <v>2633.2534017078124</v>
      </c>
      <c r="F11" s="9">
        <f>VLOOKUP(A11,'Source Data'!$A$2:$Q$137,7,FALSE)</f>
        <v>22437586.94</v>
      </c>
      <c r="G11" s="9">
        <f>SUM(F11/C11)</f>
        <v>4363.362277748932</v>
      </c>
      <c r="H11" s="9">
        <f>VLOOKUP(A11,'Source Data'!$A$2:$Q$137,8,FALSE)</f>
        <v>5379713.58</v>
      </c>
      <c r="I11" s="9">
        <f>SUM(H11/C11)</f>
        <v>1046.174856629465</v>
      </c>
      <c r="J11" s="9">
        <f>VLOOKUP(A11,'Source Data'!$A$2:$Q$137,13,FALSE)</f>
        <v>6322335.19</v>
      </c>
      <c r="K11" s="9">
        <f>SUM(J11/C11)</f>
        <v>1229.4833196234347</v>
      </c>
      <c r="L11" s="9">
        <f>VLOOKUP(A11,'Source Data'!$A$2:$Q$137,16,FALSE)</f>
        <v>47680535.68000003</v>
      </c>
      <c r="M11" s="9">
        <f>SUM(L11/C11)</f>
        <v>9272.273855709644</v>
      </c>
      <c r="N11" s="46"/>
      <c r="O11" s="47"/>
      <c r="P11" s="47"/>
      <c r="Q11" s="47"/>
      <c r="R11" s="47"/>
      <c r="S11" s="47"/>
      <c r="T11" s="46"/>
      <c r="U11" s="46"/>
      <c r="V11" s="46"/>
      <c r="W11" s="46"/>
      <c r="X11" s="46"/>
      <c r="Y11" s="46"/>
      <c r="Z11" s="46"/>
      <c r="AA11" s="46"/>
      <c r="AB11" s="46"/>
      <c r="AC11" s="46"/>
      <c r="AD11" s="46"/>
      <c r="AE11" s="46"/>
    </row>
    <row r="12" spans="1:31" ht="12.75">
      <c r="A12" s="22">
        <v>2</v>
      </c>
      <c r="B12" s="8" t="s">
        <v>158</v>
      </c>
      <c r="C12" s="130">
        <f>VLOOKUP(A12,'Source Data'!$A$2:$Q$137,17,FALSE)</f>
        <v>12371.9</v>
      </c>
      <c r="D12" s="9">
        <f aca="true" t="shared" si="0" ref="D12:D75">SUM(L12-J12-H12-F12)</f>
        <v>87506667.82999986</v>
      </c>
      <c r="E12" s="9">
        <f aca="true" t="shared" si="1" ref="E12:E75">SUM(D12/C12)</f>
        <v>7073.01771191166</v>
      </c>
      <c r="F12" s="9">
        <f>VLOOKUP(A12,'Source Data'!$A$2:$Q$137,7,FALSE)</f>
        <v>26758002.710000005</v>
      </c>
      <c r="G12" s="9">
        <f aca="true" t="shared" si="2" ref="G12:G75">SUM(F12/C12)</f>
        <v>2162.8046387377854</v>
      </c>
      <c r="H12" s="9">
        <f>VLOOKUP(A12,'Source Data'!$A$2:$Q$137,8,FALSE)</f>
        <v>10691461.04</v>
      </c>
      <c r="I12" s="9">
        <f aca="true" t="shared" si="3" ref="I12:I75">SUM(H12/C12)</f>
        <v>864.172927359581</v>
      </c>
      <c r="J12" s="9">
        <f>VLOOKUP(A12,'Source Data'!$A$2:$Q$137,13,FALSE)</f>
        <v>5145595.16</v>
      </c>
      <c r="K12" s="9">
        <f aca="true" t="shared" si="4" ref="K12:K75">SUM(J12/C12)</f>
        <v>415.9098570146865</v>
      </c>
      <c r="L12" s="9">
        <f>VLOOKUP(A12,'Source Data'!$A$2:$Q$137,16,FALSE)</f>
        <v>130101726.73999986</v>
      </c>
      <c r="M12" s="9">
        <f aca="true" t="shared" si="5" ref="M12:M75">SUM(L12/C12)</f>
        <v>10515.905135023711</v>
      </c>
      <c r="N12" s="46"/>
      <c r="O12" s="47"/>
      <c r="P12" s="47"/>
      <c r="Q12" s="47"/>
      <c r="R12" s="47"/>
      <c r="S12" s="47"/>
      <c r="T12" s="46"/>
      <c r="U12" s="46"/>
      <c r="V12" s="46"/>
      <c r="W12" s="46"/>
      <c r="X12" s="46"/>
      <c r="Y12" s="46"/>
      <c r="Z12" s="46"/>
      <c r="AA12" s="46"/>
      <c r="AB12" s="46"/>
      <c r="AC12" s="46"/>
      <c r="AD12" s="46"/>
      <c r="AE12" s="46"/>
    </row>
    <row r="13" spans="1:31" ht="12.75">
      <c r="A13" s="22">
        <v>3</v>
      </c>
      <c r="B13" s="8" t="s">
        <v>289</v>
      </c>
      <c r="C13" s="130">
        <f>VLOOKUP(A13,'Source Data'!$A$2:$Q$137,17,FALSE)</f>
        <v>2912.8</v>
      </c>
      <c r="D13" s="9">
        <f t="shared" si="0"/>
        <v>9125132.510000022</v>
      </c>
      <c r="E13" s="9">
        <f t="shared" si="1"/>
        <v>3132.7700185388703</v>
      </c>
      <c r="F13" s="9">
        <f>VLOOKUP(A13,'Source Data'!$A$2:$Q$137,7,FALSE)</f>
        <v>12403206.019999998</v>
      </c>
      <c r="G13" s="9">
        <f t="shared" si="2"/>
        <v>4258.172898928865</v>
      </c>
      <c r="H13" s="9">
        <f>VLOOKUP(A13,'Source Data'!$A$2:$Q$137,8,FALSE)</f>
        <v>2284697.31</v>
      </c>
      <c r="I13" s="9">
        <f t="shared" si="3"/>
        <v>784.364635402362</v>
      </c>
      <c r="J13" s="9">
        <f>VLOOKUP(A13,'Source Data'!$A$2:$Q$137,13,FALSE)</f>
        <v>1789341.05</v>
      </c>
      <c r="K13" s="9">
        <f t="shared" si="4"/>
        <v>614.3027499313375</v>
      </c>
      <c r="L13" s="9">
        <f>VLOOKUP(A13,'Source Data'!$A$2:$Q$137,16,FALSE)</f>
        <v>25602376.89000002</v>
      </c>
      <c r="M13" s="9">
        <f t="shared" si="5"/>
        <v>8789.610302801435</v>
      </c>
      <c r="N13" s="46"/>
      <c r="O13" s="47"/>
      <c r="P13" s="47"/>
      <c r="Q13" s="47"/>
      <c r="R13" s="47"/>
      <c r="S13" s="47"/>
      <c r="T13" s="46"/>
      <c r="U13" s="46"/>
      <c r="V13" s="46"/>
      <c r="W13" s="46"/>
      <c r="X13" s="46"/>
      <c r="Y13" s="46"/>
      <c r="Z13" s="46"/>
      <c r="AA13" s="46"/>
      <c r="AB13" s="46"/>
      <c r="AC13" s="46"/>
      <c r="AD13" s="46"/>
      <c r="AE13" s="46"/>
    </row>
    <row r="14" spans="1:31" ht="12.75">
      <c r="A14" s="22">
        <v>4</v>
      </c>
      <c r="B14" s="8" t="s">
        <v>159</v>
      </c>
      <c r="C14" s="130">
        <f>VLOOKUP(A14,'Source Data'!$A$2:$Q$137,17,FALSE)</f>
        <v>1752.25</v>
      </c>
      <c r="D14" s="9">
        <f t="shared" si="0"/>
        <v>3850134.4200000064</v>
      </c>
      <c r="E14" s="9">
        <f t="shared" si="1"/>
        <v>2197.25177343416</v>
      </c>
      <c r="F14" s="9">
        <f>VLOOKUP(A14,'Source Data'!$A$2:$Q$137,7,FALSE)</f>
        <v>7000105.87</v>
      </c>
      <c r="G14" s="9">
        <f t="shared" si="2"/>
        <v>3994.9241660721927</v>
      </c>
      <c r="H14" s="9">
        <f>VLOOKUP(A14,'Source Data'!$A$2:$Q$137,8,FALSE)</f>
        <v>1475764.74</v>
      </c>
      <c r="I14" s="9">
        <f t="shared" si="3"/>
        <v>842.2112940505065</v>
      </c>
      <c r="J14" s="9">
        <f>VLOOKUP(A14,'Source Data'!$A$2:$Q$137,13,FALSE)</f>
        <v>1180924.75</v>
      </c>
      <c r="K14" s="9">
        <f t="shared" si="4"/>
        <v>673.9476387501784</v>
      </c>
      <c r="L14" s="9">
        <f>VLOOKUP(A14,'Source Data'!$A$2:$Q$137,16,FALSE)</f>
        <v>13506929.780000007</v>
      </c>
      <c r="M14" s="9">
        <f t="shared" si="5"/>
        <v>7708.334872307038</v>
      </c>
      <c r="N14" s="46"/>
      <c r="O14" s="47"/>
      <c r="P14" s="47"/>
      <c r="Q14" s="47"/>
      <c r="R14" s="47"/>
      <c r="S14" s="47"/>
      <c r="T14" s="46"/>
      <c r="U14" s="46"/>
      <c r="V14" s="46"/>
      <c r="W14" s="46"/>
      <c r="X14" s="46"/>
      <c r="Y14" s="46"/>
      <c r="Z14" s="46"/>
      <c r="AA14" s="46"/>
      <c r="AB14" s="46"/>
      <c r="AC14" s="46"/>
      <c r="AD14" s="46"/>
      <c r="AE14" s="46"/>
    </row>
    <row r="15" spans="1:31" ht="12.75">
      <c r="A15" s="22">
        <v>5</v>
      </c>
      <c r="B15" s="8" t="s">
        <v>160</v>
      </c>
      <c r="C15" s="130">
        <f>VLOOKUP(A15,'Source Data'!$A$2:$Q$137,17,FALSE)</f>
        <v>4628.06</v>
      </c>
      <c r="D15" s="9">
        <f t="shared" si="0"/>
        <v>10798199.549999986</v>
      </c>
      <c r="E15" s="9">
        <f t="shared" si="1"/>
        <v>2333.2021516574946</v>
      </c>
      <c r="F15" s="9">
        <f>VLOOKUP(A15,'Source Data'!$A$2:$Q$137,7,FALSE)</f>
        <v>18501732.509999998</v>
      </c>
      <c r="G15" s="9">
        <f t="shared" si="2"/>
        <v>3997.72961240779</v>
      </c>
      <c r="H15" s="9">
        <f>VLOOKUP(A15,'Source Data'!$A$2:$Q$137,8,FALSE)</f>
        <v>4030106.28</v>
      </c>
      <c r="I15" s="9">
        <f t="shared" si="3"/>
        <v>870.7981918989813</v>
      </c>
      <c r="J15" s="9">
        <f>VLOOKUP(A15,'Source Data'!$A$2:$Q$137,13,FALSE)</f>
        <v>3106566.19</v>
      </c>
      <c r="K15" s="9">
        <f t="shared" si="4"/>
        <v>671.245876241881</v>
      </c>
      <c r="L15" s="9">
        <f>VLOOKUP(A15,'Source Data'!$A$2:$Q$137,16,FALSE)</f>
        <v>36436604.52999999</v>
      </c>
      <c r="M15" s="9">
        <f t="shared" si="5"/>
        <v>7872.975832206148</v>
      </c>
      <c r="N15" s="46"/>
      <c r="O15" s="47"/>
      <c r="P15" s="47"/>
      <c r="Q15" s="47"/>
      <c r="R15" s="47"/>
      <c r="S15" s="47"/>
      <c r="T15" s="46"/>
      <c r="U15" s="46"/>
      <c r="V15" s="46"/>
      <c r="W15" s="46"/>
      <c r="X15" s="46"/>
      <c r="Y15" s="46"/>
      <c r="Z15" s="46"/>
      <c r="AA15" s="46"/>
      <c r="AB15" s="46"/>
      <c r="AC15" s="46"/>
      <c r="AD15" s="46"/>
      <c r="AE15" s="46"/>
    </row>
    <row r="16" spans="1:31" ht="12.75">
      <c r="A16" s="22">
        <v>6</v>
      </c>
      <c r="B16" s="8" t="s">
        <v>161</v>
      </c>
      <c r="C16" s="130">
        <f>VLOOKUP(A16,'Source Data'!$A$2:$Q$137,17,FALSE)</f>
        <v>2269.29</v>
      </c>
      <c r="D16" s="9">
        <f t="shared" si="0"/>
        <v>4037369.5200000256</v>
      </c>
      <c r="E16" s="9">
        <f t="shared" si="1"/>
        <v>1779.1333500786702</v>
      </c>
      <c r="F16" s="9">
        <f>VLOOKUP(A16,'Source Data'!$A$2:$Q$137,7,FALSE)</f>
        <v>9856897.77</v>
      </c>
      <c r="G16" s="9">
        <f t="shared" si="2"/>
        <v>4343.604285922029</v>
      </c>
      <c r="H16" s="9">
        <f>VLOOKUP(A16,'Source Data'!$A$2:$Q$137,8,FALSE)</f>
        <v>1871566.38</v>
      </c>
      <c r="I16" s="9">
        <f t="shared" si="3"/>
        <v>824.7365387411921</v>
      </c>
      <c r="J16" s="9">
        <f>VLOOKUP(A16,'Source Data'!$A$2:$Q$137,13,FALSE)</f>
        <v>1562588.68</v>
      </c>
      <c r="K16" s="9">
        <f t="shared" si="4"/>
        <v>688.5804282396697</v>
      </c>
      <c r="L16" s="9">
        <f>VLOOKUP(A16,'Source Data'!$A$2:$Q$137,16,FALSE)</f>
        <v>17328422.350000024</v>
      </c>
      <c r="M16" s="9">
        <f t="shared" si="5"/>
        <v>7636.05460298156</v>
      </c>
      <c r="N16" s="46"/>
      <c r="O16" s="47"/>
      <c r="P16" s="47"/>
      <c r="Q16" s="47"/>
      <c r="R16" s="47"/>
      <c r="S16" s="47"/>
      <c r="T16" s="46"/>
      <c r="U16" s="46"/>
      <c r="V16" s="46"/>
      <c r="W16" s="46"/>
      <c r="X16" s="46"/>
      <c r="Y16" s="46"/>
      <c r="Z16" s="46"/>
      <c r="AA16" s="46"/>
      <c r="AB16" s="46"/>
      <c r="AC16" s="46"/>
      <c r="AD16" s="46"/>
      <c r="AE16" s="46"/>
    </row>
    <row r="17" spans="1:31" ht="12.75">
      <c r="A17" s="22">
        <v>7</v>
      </c>
      <c r="B17" s="8" t="s">
        <v>162</v>
      </c>
      <c r="C17" s="130">
        <f>VLOOKUP(A17,'Source Data'!$A$2:$Q$137,17,FALSE)</f>
        <v>17817.58</v>
      </c>
      <c r="D17" s="9">
        <f t="shared" si="0"/>
        <v>249235903.04000035</v>
      </c>
      <c r="E17" s="9">
        <f t="shared" si="1"/>
        <v>13988.20171089454</v>
      </c>
      <c r="F17" s="9">
        <f>VLOOKUP(A17,'Source Data'!$A$2:$Q$137,7,FALSE)</f>
        <v>24020085.4</v>
      </c>
      <c r="G17" s="9">
        <f t="shared" si="2"/>
        <v>1348.1115505023688</v>
      </c>
      <c r="H17" s="9">
        <f>VLOOKUP(A17,'Source Data'!$A$2:$Q$137,8,FALSE)</f>
        <v>15625499.76</v>
      </c>
      <c r="I17" s="9">
        <f t="shared" si="3"/>
        <v>876.9709332019274</v>
      </c>
      <c r="J17" s="9">
        <f>VLOOKUP(A17,'Source Data'!$A$2:$Q$137,13,FALSE)</f>
        <v>13740260.190000001</v>
      </c>
      <c r="K17" s="9">
        <f t="shared" si="4"/>
        <v>771.1630979066742</v>
      </c>
      <c r="L17" s="9">
        <f>VLOOKUP(A17,'Source Data'!$A$2:$Q$137,16,FALSE)</f>
        <v>302621748.39000034</v>
      </c>
      <c r="M17" s="9">
        <f t="shared" si="5"/>
        <v>16984.44729250551</v>
      </c>
      <c r="N17" s="46"/>
      <c r="O17" s="47"/>
      <c r="P17" s="47"/>
      <c r="Q17" s="47"/>
      <c r="R17" s="47"/>
      <c r="S17" s="47"/>
      <c r="T17" s="46"/>
      <c r="U17" s="46"/>
      <c r="V17" s="46"/>
      <c r="W17" s="46"/>
      <c r="X17" s="46"/>
      <c r="Y17" s="46"/>
      <c r="Z17" s="46"/>
      <c r="AA17" s="46"/>
      <c r="AB17" s="46"/>
      <c r="AC17" s="46"/>
      <c r="AD17" s="46"/>
      <c r="AE17" s="46"/>
    </row>
    <row r="18" spans="1:31" ht="12.75">
      <c r="A18" s="22">
        <v>8</v>
      </c>
      <c r="B18" s="8" t="s">
        <v>163</v>
      </c>
      <c r="C18" s="130">
        <f>VLOOKUP(A18,'Source Data'!$A$2:$Q$137,17,FALSE)</f>
        <v>10748.45</v>
      </c>
      <c r="D18" s="9">
        <f t="shared" si="0"/>
        <v>25536923.759999968</v>
      </c>
      <c r="E18" s="9">
        <f t="shared" si="1"/>
        <v>2375.8703589819897</v>
      </c>
      <c r="F18" s="9">
        <f>VLOOKUP(A18,'Source Data'!$A$2:$Q$137,7,FALSE)</f>
        <v>39977871.089999996</v>
      </c>
      <c r="G18" s="9">
        <f t="shared" si="2"/>
        <v>3719.4080160395215</v>
      </c>
      <c r="H18" s="9">
        <f>VLOOKUP(A18,'Source Data'!$A$2:$Q$137,8,FALSE)</f>
        <v>9188697.780000001</v>
      </c>
      <c r="I18" s="9">
        <f t="shared" si="3"/>
        <v>854.8858467965149</v>
      </c>
      <c r="J18" s="9">
        <f>VLOOKUP(A18,'Source Data'!$A$2:$Q$137,13,FALSE)</f>
        <v>7816144.400000001</v>
      </c>
      <c r="K18" s="9">
        <f t="shared" si="4"/>
        <v>727.1880503700535</v>
      </c>
      <c r="L18" s="9">
        <f>VLOOKUP(A18,'Source Data'!$A$2:$Q$137,16,FALSE)</f>
        <v>82519637.02999997</v>
      </c>
      <c r="M18" s="9">
        <f t="shared" si="5"/>
        <v>7677.35227218808</v>
      </c>
      <c r="N18" s="46"/>
      <c r="O18" s="47"/>
      <c r="P18" s="47"/>
      <c r="Q18" s="47"/>
      <c r="R18" s="47"/>
      <c r="S18" s="47"/>
      <c r="T18" s="46"/>
      <c r="U18" s="46"/>
      <c r="V18" s="46"/>
      <c r="W18" s="46"/>
      <c r="X18" s="46"/>
      <c r="Y18" s="46"/>
      <c r="Z18" s="46"/>
      <c r="AA18" s="46"/>
      <c r="AB18" s="46"/>
      <c r="AC18" s="46"/>
      <c r="AD18" s="46"/>
      <c r="AE18" s="46"/>
    </row>
    <row r="19" spans="1:31" ht="12.75">
      <c r="A19" s="22">
        <v>9</v>
      </c>
      <c r="B19" s="8" t="s">
        <v>164</v>
      </c>
      <c r="C19" s="130">
        <f>VLOOKUP(A19,'Source Data'!$A$2:$Q$137,17,FALSE)</f>
        <v>778.39</v>
      </c>
      <c r="D19" s="9">
        <f t="shared" si="0"/>
        <v>6781117.889999994</v>
      </c>
      <c r="E19" s="9">
        <f t="shared" si="1"/>
        <v>8711.722773930798</v>
      </c>
      <c r="F19" s="9">
        <f>VLOOKUP(A19,'Source Data'!$A$2:$Q$137,7,FALSE)</f>
        <v>1173135.2</v>
      </c>
      <c r="G19" s="9">
        <f t="shared" si="2"/>
        <v>1507.1303588175592</v>
      </c>
      <c r="H19" s="9">
        <f>VLOOKUP(A19,'Source Data'!$A$2:$Q$137,8,FALSE)</f>
        <v>635639.4</v>
      </c>
      <c r="I19" s="9">
        <f t="shared" si="3"/>
        <v>816.6078700908286</v>
      </c>
      <c r="J19" s="9">
        <f>VLOOKUP(A19,'Source Data'!$A$2:$Q$137,13,FALSE)</f>
        <v>752842.42</v>
      </c>
      <c r="K19" s="9">
        <f t="shared" si="4"/>
        <v>967.178946286566</v>
      </c>
      <c r="L19" s="9">
        <f>VLOOKUP(A19,'Source Data'!$A$2:$Q$137,16,FALSE)</f>
        <v>9342734.909999995</v>
      </c>
      <c r="M19" s="9">
        <f t="shared" si="5"/>
        <v>12002.639949125753</v>
      </c>
      <c r="N19" s="46"/>
      <c r="O19" s="47"/>
      <c r="P19" s="47"/>
      <c r="Q19" s="47"/>
      <c r="R19" s="47"/>
      <c r="S19" s="47"/>
      <c r="T19" s="46"/>
      <c r="U19" s="46"/>
      <c r="V19" s="46"/>
      <c r="W19" s="46"/>
      <c r="X19" s="46"/>
      <c r="Y19" s="46"/>
      <c r="Z19" s="46"/>
      <c r="AA19" s="46"/>
      <c r="AB19" s="46"/>
      <c r="AC19" s="46"/>
      <c r="AD19" s="46"/>
      <c r="AE19" s="46"/>
    </row>
    <row r="20" spans="1:31" ht="13.5">
      <c r="A20" s="22">
        <v>10</v>
      </c>
      <c r="B20" s="8" t="s">
        <v>630</v>
      </c>
      <c r="C20" s="130">
        <f>VLOOKUP(A20,'Source Data'!$A$2:$Q$137,17,FALSE)</f>
        <v>9912.96</v>
      </c>
      <c r="D20" s="9">
        <f t="shared" si="0"/>
        <v>25106696.859999992</v>
      </c>
      <c r="E20" s="9">
        <f t="shared" si="1"/>
        <v>2532.714432419781</v>
      </c>
      <c r="F20" s="9">
        <f>VLOOKUP(A20,'Source Data'!$A$2:$Q$137,7,FALSE)</f>
        <v>33366557.570000008</v>
      </c>
      <c r="G20" s="9">
        <f t="shared" si="2"/>
        <v>3365.9530120165937</v>
      </c>
      <c r="H20" s="9">
        <f>VLOOKUP(A20,'Source Data'!$A$2:$Q$137,8,FALSE)</f>
        <v>7826613.36</v>
      </c>
      <c r="I20" s="9">
        <f t="shared" si="3"/>
        <v>789.5334350184003</v>
      </c>
      <c r="J20" s="9">
        <f>VLOOKUP(A20,'Source Data'!$A$2:$Q$137,13,FALSE)</f>
        <v>5620054.229999999</v>
      </c>
      <c r="K20" s="9">
        <f t="shared" si="4"/>
        <v>566.9400693637419</v>
      </c>
      <c r="L20" s="9">
        <f>VLOOKUP(A20,'Source Data'!$A$2:$Q$137,16,FALSE)</f>
        <v>71919922.02</v>
      </c>
      <c r="M20" s="9">
        <f t="shared" si="5"/>
        <v>7255.140948818516</v>
      </c>
      <c r="N20" s="46"/>
      <c r="O20" s="47"/>
      <c r="P20" s="47"/>
      <c r="Q20" s="47"/>
      <c r="R20" s="47"/>
      <c r="S20" s="47"/>
      <c r="T20" s="46"/>
      <c r="U20" s="46"/>
      <c r="V20" s="46"/>
      <c r="W20" s="46"/>
      <c r="X20" s="46"/>
      <c r="Y20" s="46"/>
      <c r="Z20" s="46"/>
      <c r="AA20" s="46"/>
      <c r="AB20" s="46"/>
      <c r="AC20" s="46"/>
      <c r="AD20" s="46"/>
      <c r="AE20" s="46"/>
    </row>
    <row r="21" spans="1:31" ht="12.75">
      <c r="A21" s="22">
        <v>11</v>
      </c>
      <c r="B21" s="8" t="s">
        <v>165</v>
      </c>
      <c r="C21" s="130">
        <f>VLOOKUP(A21,'Source Data'!$A$2:$Q$137,17,FALSE)</f>
        <v>893.01</v>
      </c>
      <c r="D21" s="9">
        <f t="shared" si="0"/>
        <v>1801943.5599999968</v>
      </c>
      <c r="E21" s="9">
        <f t="shared" si="1"/>
        <v>2017.8313344755343</v>
      </c>
      <c r="F21" s="9">
        <f>VLOOKUP(A21,'Source Data'!$A$2:$Q$137,7,FALSE)</f>
        <v>4417727.66</v>
      </c>
      <c r="G21" s="9">
        <f t="shared" si="2"/>
        <v>4947.008051421597</v>
      </c>
      <c r="H21" s="9">
        <f>VLOOKUP(A21,'Source Data'!$A$2:$Q$137,8,FALSE)</f>
        <v>719513.32</v>
      </c>
      <c r="I21" s="9">
        <f t="shared" si="3"/>
        <v>805.7169796530834</v>
      </c>
      <c r="J21" s="9">
        <f>VLOOKUP(A21,'Source Data'!$A$2:$Q$137,13,FALSE)</f>
        <v>615723.74</v>
      </c>
      <c r="K21" s="9">
        <f t="shared" si="4"/>
        <v>689.4925476758378</v>
      </c>
      <c r="L21" s="9">
        <f>VLOOKUP(A21,'Source Data'!$A$2:$Q$137,16,FALSE)</f>
        <v>7554908.2799999975</v>
      </c>
      <c r="M21" s="9">
        <f t="shared" si="5"/>
        <v>8460.048913226054</v>
      </c>
      <c r="N21" s="46"/>
      <c r="O21" s="47"/>
      <c r="P21" s="47"/>
      <c r="Q21" s="47"/>
      <c r="R21" s="47"/>
      <c r="S21" s="47"/>
      <c r="T21" s="46"/>
      <c r="U21" s="46"/>
      <c r="V21" s="46"/>
      <c r="W21" s="46"/>
      <c r="X21" s="46"/>
      <c r="Y21" s="46"/>
      <c r="Z21" s="46"/>
      <c r="AA21" s="46"/>
      <c r="AB21" s="46"/>
      <c r="AC21" s="46"/>
      <c r="AD21" s="46"/>
      <c r="AE21" s="46"/>
    </row>
    <row r="22" spans="1:31" ht="12.75">
      <c r="A22" s="22">
        <v>12</v>
      </c>
      <c r="B22" s="8" t="s">
        <v>166</v>
      </c>
      <c r="C22" s="130">
        <f>VLOOKUP(A22,'Source Data'!$A$2:$Q$137,17,FALSE)</f>
        <v>4773.41</v>
      </c>
      <c r="D22" s="9">
        <f t="shared" si="0"/>
        <v>17187201.879999977</v>
      </c>
      <c r="E22" s="9">
        <f t="shared" si="1"/>
        <v>3600.612953842217</v>
      </c>
      <c r="F22" s="9">
        <f>VLOOKUP(A22,'Source Data'!$A$2:$Q$137,7,FALSE)</f>
        <v>15825834.309999999</v>
      </c>
      <c r="G22" s="9">
        <f t="shared" si="2"/>
        <v>3315.414831326033</v>
      </c>
      <c r="H22" s="9">
        <f>VLOOKUP(A22,'Source Data'!$A$2:$Q$137,8,FALSE)</f>
        <v>4225275.46</v>
      </c>
      <c r="I22" s="9">
        <f t="shared" si="3"/>
        <v>885.1691893216799</v>
      </c>
      <c r="J22" s="9">
        <f>VLOOKUP(A22,'Source Data'!$A$2:$Q$137,13,FALSE)</f>
        <v>1821981.18</v>
      </c>
      <c r="K22" s="9">
        <f t="shared" si="4"/>
        <v>381.693837319652</v>
      </c>
      <c r="L22" s="9">
        <f>VLOOKUP(A22,'Source Data'!$A$2:$Q$137,16,FALSE)</f>
        <v>39060292.829999976</v>
      </c>
      <c r="M22" s="9">
        <f t="shared" si="5"/>
        <v>8182.890811809582</v>
      </c>
      <c r="N22" s="46"/>
      <c r="O22" s="47"/>
      <c r="P22" s="47"/>
      <c r="Q22" s="47"/>
      <c r="R22" s="47"/>
      <c r="S22" s="47"/>
      <c r="T22" s="46"/>
      <c r="U22" s="46"/>
      <c r="V22" s="46"/>
      <c r="W22" s="46"/>
      <c r="X22" s="46"/>
      <c r="Y22" s="46"/>
      <c r="Z22" s="46"/>
      <c r="AA22" s="46"/>
      <c r="AB22" s="46"/>
      <c r="AC22" s="46"/>
      <c r="AD22" s="46"/>
      <c r="AE22" s="46"/>
    </row>
    <row r="23" spans="1:31" ht="12.75">
      <c r="A23" s="22">
        <v>13</v>
      </c>
      <c r="B23" s="8" t="s">
        <v>167</v>
      </c>
      <c r="C23" s="130">
        <f>VLOOKUP(A23,'Source Data'!$A$2:$Q$137,17,FALSE)</f>
        <v>2208.96</v>
      </c>
      <c r="D23" s="9">
        <f t="shared" si="0"/>
        <v>5105756.509999979</v>
      </c>
      <c r="E23" s="9">
        <f t="shared" si="1"/>
        <v>2311.3847738302093</v>
      </c>
      <c r="F23" s="9">
        <f>VLOOKUP(A23,'Source Data'!$A$2:$Q$137,7,FALSE)</f>
        <v>11761358.86</v>
      </c>
      <c r="G23" s="9">
        <f t="shared" si="2"/>
        <v>5324.387431189338</v>
      </c>
      <c r="H23" s="9">
        <f>VLOOKUP(A23,'Source Data'!$A$2:$Q$137,8,FALSE)</f>
        <v>2151890.48</v>
      </c>
      <c r="I23" s="9">
        <f t="shared" si="3"/>
        <v>974.1645299145299</v>
      </c>
      <c r="J23" s="9">
        <f>VLOOKUP(A23,'Source Data'!$A$2:$Q$137,13,FALSE)</f>
        <v>2962159.5</v>
      </c>
      <c r="K23" s="9">
        <f t="shared" si="4"/>
        <v>1340.9747120817035</v>
      </c>
      <c r="L23" s="9">
        <f>VLOOKUP(A23,'Source Data'!$A$2:$Q$137,16,FALSE)</f>
        <v>21981165.34999998</v>
      </c>
      <c r="M23" s="9">
        <f t="shared" si="5"/>
        <v>9950.91144701578</v>
      </c>
      <c r="N23" s="46"/>
      <c r="O23" s="47"/>
      <c r="P23" s="47"/>
      <c r="Q23" s="47"/>
      <c r="R23" s="47"/>
      <c r="S23" s="47"/>
      <c r="T23" s="46"/>
      <c r="U23" s="46"/>
      <c r="V23" s="46"/>
      <c r="W23" s="46"/>
      <c r="X23" s="46"/>
      <c r="Y23" s="46"/>
      <c r="Z23" s="46"/>
      <c r="AA23" s="46"/>
      <c r="AB23" s="46"/>
      <c r="AC23" s="46"/>
      <c r="AD23" s="46"/>
      <c r="AE23" s="46"/>
    </row>
    <row r="24" spans="1:31" ht="12.75">
      <c r="A24" s="22">
        <v>14</v>
      </c>
      <c r="B24" s="8" t="s">
        <v>168</v>
      </c>
      <c r="C24" s="130">
        <f>VLOOKUP(A24,'Source Data'!$A$2:$Q$137,17,FALSE)</f>
        <v>3499.53</v>
      </c>
      <c r="D24" s="9">
        <f t="shared" si="0"/>
        <v>8524313.200000009</v>
      </c>
      <c r="E24" s="9">
        <f t="shared" si="1"/>
        <v>2435.845156349569</v>
      </c>
      <c r="F24" s="9">
        <f>VLOOKUP(A24,'Source Data'!$A$2:$Q$137,7,FALSE)</f>
        <v>16502571.19</v>
      </c>
      <c r="G24" s="9">
        <f t="shared" si="2"/>
        <v>4715.653584909973</v>
      </c>
      <c r="H24" s="9">
        <f>VLOOKUP(A24,'Source Data'!$A$2:$Q$137,8,FALSE)</f>
        <v>2778236.3</v>
      </c>
      <c r="I24" s="9">
        <f t="shared" si="3"/>
        <v>793.8884078719142</v>
      </c>
      <c r="J24" s="9">
        <f>VLOOKUP(A24,'Source Data'!$A$2:$Q$137,13,FALSE)</f>
        <v>4462884.86</v>
      </c>
      <c r="K24" s="9">
        <f t="shared" si="4"/>
        <v>1275.281212048475</v>
      </c>
      <c r="L24" s="9">
        <f>VLOOKUP(A24,'Source Data'!$A$2:$Q$137,16,FALSE)</f>
        <v>32268005.55000001</v>
      </c>
      <c r="M24" s="9">
        <f t="shared" si="5"/>
        <v>9220.66836117993</v>
      </c>
      <c r="N24" s="46"/>
      <c r="O24" s="47"/>
      <c r="P24" s="47"/>
      <c r="Q24" s="47"/>
      <c r="R24" s="47"/>
      <c r="S24" s="47"/>
      <c r="T24" s="46"/>
      <c r="U24" s="46"/>
      <c r="V24" s="46"/>
      <c r="W24" s="46"/>
      <c r="X24" s="46"/>
      <c r="Y24" s="46"/>
      <c r="Z24" s="46"/>
      <c r="AA24" s="46"/>
      <c r="AB24" s="46"/>
      <c r="AC24" s="46"/>
      <c r="AD24" s="46"/>
      <c r="AE24" s="46"/>
    </row>
    <row r="25" spans="1:31" ht="12.75">
      <c r="A25" s="22">
        <v>15</v>
      </c>
      <c r="B25" s="8" t="s">
        <v>169</v>
      </c>
      <c r="C25" s="130">
        <f>VLOOKUP(A25,'Source Data'!$A$2:$Q$137,17,FALSE)</f>
        <v>2152.89</v>
      </c>
      <c r="D25" s="9">
        <f t="shared" si="0"/>
        <v>4768090.880000003</v>
      </c>
      <c r="E25" s="9">
        <f t="shared" si="1"/>
        <v>2214.739666216111</v>
      </c>
      <c r="F25" s="9">
        <f>VLOOKUP(A25,'Source Data'!$A$2:$Q$137,7,FALSE)</f>
        <v>9897899.319999998</v>
      </c>
      <c r="G25" s="9">
        <f t="shared" si="2"/>
        <v>4597.494214753192</v>
      </c>
      <c r="H25" s="9">
        <f>VLOOKUP(A25,'Source Data'!$A$2:$Q$137,8,FALSE)</f>
        <v>1915929.42</v>
      </c>
      <c r="I25" s="9">
        <f t="shared" si="3"/>
        <v>889.9337262934939</v>
      </c>
      <c r="J25" s="9">
        <f>VLOOKUP(A25,'Source Data'!$A$2:$Q$137,13,FALSE)</f>
        <v>2593291.16</v>
      </c>
      <c r="K25" s="9">
        <f t="shared" si="4"/>
        <v>1204.562778404842</v>
      </c>
      <c r="L25" s="9">
        <f>VLOOKUP(A25,'Source Data'!$A$2:$Q$137,16,FALSE)</f>
        <v>19175210.78</v>
      </c>
      <c r="M25" s="9">
        <f t="shared" si="5"/>
        <v>8906.730385667639</v>
      </c>
      <c r="N25" s="46"/>
      <c r="O25" s="47"/>
      <c r="P25" s="47"/>
      <c r="Q25" s="47"/>
      <c r="R25" s="47"/>
      <c r="S25" s="47"/>
      <c r="T25" s="46"/>
      <c r="U25" s="46"/>
      <c r="V25" s="46"/>
      <c r="W25" s="46"/>
      <c r="X25" s="46"/>
      <c r="Y25" s="46"/>
      <c r="Z25" s="46"/>
      <c r="AA25" s="46"/>
      <c r="AB25" s="46"/>
      <c r="AC25" s="46"/>
      <c r="AD25" s="46"/>
      <c r="AE25" s="46"/>
    </row>
    <row r="26" spans="1:31" ht="12.75">
      <c r="A26" s="22">
        <v>16</v>
      </c>
      <c r="B26" s="8" t="s">
        <v>170</v>
      </c>
      <c r="C26" s="130">
        <f>VLOOKUP(A26,'Source Data'!$A$2:$Q$137,17,FALSE)</f>
        <v>8669.65</v>
      </c>
      <c r="D26" s="9">
        <f t="shared" si="0"/>
        <v>19114015.049999982</v>
      </c>
      <c r="E26" s="9">
        <f t="shared" si="1"/>
        <v>2204.704347926385</v>
      </c>
      <c r="F26" s="9">
        <f>VLOOKUP(A26,'Source Data'!$A$2:$Q$137,7,FALSE)</f>
        <v>34246807.35000001</v>
      </c>
      <c r="G26" s="9">
        <f t="shared" si="2"/>
        <v>3950.1949155963634</v>
      </c>
      <c r="H26" s="9">
        <f>VLOOKUP(A26,'Source Data'!$A$2:$Q$137,8,FALSE)</f>
        <v>7270165.52</v>
      </c>
      <c r="I26" s="9">
        <f t="shared" si="3"/>
        <v>838.5765884435934</v>
      </c>
      <c r="J26" s="9">
        <f>VLOOKUP(A26,'Source Data'!$A$2:$Q$137,13,FALSE)</f>
        <v>4817776.24</v>
      </c>
      <c r="K26" s="9">
        <f t="shared" si="4"/>
        <v>555.705967368925</v>
      </c>
      <c r="L26" s="9">
        <f>VLOOKUP(A26,'Source Data'!$A$2:$Q$137,16,FALSE)</f>
        <v>65448764.15999999</v>
      </c>
      <c r="M26" s="9">
        <f t="shared" si="5"/>
        <v>7549.1818193352665</v>
      </c>
      <c r="N26" s="46"/>
      <c r="O26" s="47"/>
      <c r="P26" s="47"/>
      <c r="Q26" s="47"/>
      <c r="R26" s="47"/>
      <c r="S26" s="47"/>
      <c r="T26" s="46"/>
      <c r="U26" s="46"/>
      <c r="V26" s="46"/>
      <c r="W26" s="46"/>
      <c r="X26" s="46"/>
      <c r="Y26" s="46"/>
      <c r="Z26" s="46"/>
      <c r="AA26" s="46"/>
      <c r="AB26" s="46"/>
      <c r="AC26" s="46"/>
      <c r="AD26" s="46"/>
      <c r="AE26" s="46"/>
    </row>
    <row r="27" spans="1:31" ht="12.75">
      <c r="A27" s="22">
        <v>17</v>
      </c>
      <c r="B27" s="8" t="s">
        <v>171</v>
      </c>
      <c r="C27" s="130">
        <f>VLOOKUP(A27,'Source Data'!$A$2:$Q$137,17,FALSE)</f>
        <v>3775.29</v>
      </c>
      <c r="D27" s="9">
        <f t="shared" si="0"/>
        <v>7532445.620000001</v>
      </c>
      <c r="E27" s="9">
        <f t="shared" si="1"/>
        <v>1995.1965597344843</v>
      </c>
      <c r="F27" s="9">
        <f>VLOOKUP(A27,'Source Data'!$A$2:$Q$137,7,FALSE)</f>
        <v>15496348.52</v>
      </c>
      <c r="G27" s="9">
        <f t="shared" si="2"/>
        <v>4104.67765919969</v>
      </c>
      <c r="H27" s="9">
        <f>VLOOKUP(A27,'Source Data'!$A$2:$Q$137,8,FALSE)</f>
        <v>2904393.76</v>
      </c>
      <c r="I27" s="9">
        <f t="shared" si="3"/>
        <v>769.3167306352624</v>
      </c>
      <c r="J27" s="9">
        <f>VLOOKUP(A27,'Source Data'!$A$2:$Q$137,13,FALSE)</f>
        <v>4090930.03</v>
      </c>
      <c r="K27" s="9">
        <f t="shared" si="4"/>
        <v>1083.6068302037725</v>
      </c>
      <c r="L27" s="9">
        <f>VLOOKUP(A27,'Source Data'!$A$2:$Q$137,16,FALSE)</f>
        <v>30024117.93</v>
      </c>
      <c r="M27" s="9">
        <f t="shared" si="5"/>
        <v>7952.797779773209</v>
      </c>
      <c r="N27" s="46"/>
      <c r="O27" s="47"/>
      <c r="P27" s="47"/>
      <c r="Q27" s="47"/>
      <c r="R27" s="47"/>
      <c r="S27" s="47"/>
      <c r="T27" s="46"/>
      <c r="U27" s="46"/>
      <c r="V27" s="46"/>
      <c r="W27" s="46"/>
      <c r="X27" s="46"/>
      <c r="Y27" s="46"/>
      <c r="Z27" s="46"/>
      <c r="AA27" s="46"/>
      <c r="AB27" s="46"/>
      <c r="AC27" s="46"/>
      <c r="AD27" s="46"/>
      <c r="AE27" s="46"/>
    </row>
    <row r="28" spans="1:31" ht="12.75">
      <c r="A28" s="22">
        <v>18</v>
      </c>
      <c r="B28" s="8" t="s">
        <v>172</v>
      </c>
      <c r="C28" s="130">
        <f>VLOOKUP(A28,'Source Data'!$A$2:$Q$137,17,FALSE)</f>
        <v>4014.29</v>
      </c>
      <c r="D28" s="9">
        <f t="shared" si="0"/>
        <v>8594474.76000004</v>
      </c>
      <c r="E28" s="9">
        <f t="shared" si="1"/>
        <v>2140.9700744091833</v>
      </c>
      <c r="F28" s="9">
        <f>VLOOKUP(A28,'Source Data'!$A$2:$Q$137,7,FALSE)</f>
        <v>16115097.01</v>
      </c>
      <c r="G28" s="9">
        <f t="shared" si="2"/>
        <v>4014.43269170887</v>
      </c>
      <c r="H28" s="9">
        <f>VLOOKUP(A28,'Source Data'!$A$2:$Q$137,8,FALSE)</f>
        <v>3429818.66</v>
      </c>
      <c r="I28" s="9">
        <f t="shared" si="3"/>
        <v>854.4023127377444</v>
      </c>
      <c r="J28" s="9">
        <f>VLOOKUP(A28,'Source Data'!$A$2:$Q$137,13,FALSE)</f>
        <v>5050361.98</v>
      </c>
      <c r="K28" s="9">
        <f t="shared" si="4"/>
        <v>1258.0959472285263</v>
      </c>
      <c r="L28" s="9">
        <f>VLOOKUP(A28,'Source Data'!$A$2:$Q$137,16,FALSE)</f>
        <v>33189752.41000004</v>
      </c>
      <c r="M28" s="9">
        <f t="shared" si="5"/>
        <v>8267.901026084324</v>
      </c>
      <c r="N28" s="46"/>
      <c r="O28" s="47"/>
      <c r="P28" s="47"/>
      <c r="Q28" s="47"/>
      <c r="R28" s="47"/>
      <c r="S28" s="47"/>
      <c r="T28" s="46"/>
      <c r="U28" s="46"/>
      <c r="V28" s="46"/>
      <c r="W28" s="46"/>
      <c r="X28" s="46"/>
      <c r="Y28" s="46"/>
      <c r="Z28" s="46"/>
      <c r="AA28" s="46"/>
      <c r="AB28" s="46"/>
      <c r="AC28" s="46"/>
      <c r="AD28" s="46"/>
      <c r="AE28" s="46"/>
    </row>
    <row r="29" spans="1:31" ht="12.75">
      <c r="A29" s="22">
        <v>19</v>
      </c>
      <c r="B29" s="8" t="s">
        <v>173</v>
      </c>
      <c r="C29" s="130">
        <f>VLOOKUP(A29,'Source Data'!$A$2:$Q$137,17,FALSE)</f>
        <v>856.37</v>
      </c>
      <c r="D29" s="9">
        <f t="shared" si="0"/>
        <v>5645448.040000001</v>
      </c>
      <c r="E29" s="9">
        <f t="shared" si="1"/>
        <v>6592.300103927042</v>
      </c>
      <c r="F29" s="9">
        <f>VLOOKUP(A29,'Source Data'!$A$2:$Q$137,7,FALSE)</f>
        <v>3730333.41</v>
      </c>
      <c r="G29" s="9">
        <f t="shared" si="2"/>
        <v>4355.9832899330895</v>
      </c>
      <c r="H29" s="9">
        <f>VLOOKUP(A29,'Source Data'!$A$2:$Q$137,8,FALSE)</f>
        <v>792063.94</v>
      </c>
      <c r="I29" s="9">
        <f t="shared" si="3"/>
        <v>924.9085558812195</v>
      </c>
      <c r="J29" s="9">
        <f>VLOOKUP(A29,'Source Data'!$A$2:$Q$137,13,FALSE)</f>
        <v>854257.51</v>
      </c>
      <c r="K29" s="9">
        <f t="shared" si="4"/>
        <v>997.533204105702</v>
      </c>
      <c r="L29" s="9">
        <f>VLOOKUP(A29,'Source Data'!$A$2:$Q$137,16,FALSE)</f>
        <v>11022102.9</v>
      </c>
      <c r="M29" s="9">
        <f t="shared" si="5"/>
        <v>12870.725153847052</v>
      </c>
      <c r="N29" s="46"/>
      <c r="O29" s="47"/>
      <c r="P29" s="47"/>
      <c r="Q29" s="47"/>
      <c r="R29" s="47"/>
      <c r="S29" s="47"/>
      <c r="T29" s="46"/>
      <c r="U29" s="46"/>
      <c r="V29" s="46"/>
      <c r="W29" s="46"/>
      <c r="X29" s="46"/>
      <c r="Y29" s="46"/>
      <c r="Z29" s="46"/>
      <c r="AA29" s="46"/>
      <c r="AB29" s="46"/>
      <c r="AC29" s="46"/>
      <c r="AD29" s="46"/>
      <c r="AE29" s="46"/>
    </row>
    <row r="30" spans="1:31" ht="12.75">
      <c r="A30" s="22">
        <v>20</v>
      </c>
      <c r="B30" s="8" t="s">
        <v>174</v>
      </c>
      <c r="C30" s="130">
        <f>VLOOKUP(A30,'Source Data'!$A$2:$Q$137,17,FALSE)</f>
        <v>2185.33</v>
      </c>
      <c r="D30" s="9">
        <f t="shared" si="0"/>
        <v>3385258.2300000098</v>
      </c>
      <c r="E30" s="9">
        <f t="shared" si="1"/>
        <v>1549.0833100721675</v>
      </c>
      <c r="F30" s="9">
        <f>VLOOKUP(A30,'Source Data'!$A$2:$Q$137,7,FALSE)</f>
        <v>10754403.7</v>
      </c>
      <c r="G30" s="9">
        <f t="shared" si="2"/>
        <v>4921.180645486036</v>
      </c>
      <c r="H30" s="9">
        <f>VLOOKUP(A30,'Source Data'!$A$2:$Q$137,8,FALSE)</f>
        <v>1681637.1</v>
      </c>
      <c r="I30" s="9">
        <f t="shared" si="3"/>
        <v>769.5117442216965</v>
      </c>
      <c r="J30" s="9">
        <f>VLOOKUP(A30,'Source Data'!$A$2:$Q$137,13,FALSE)</f>
        <v>1930149.18</v>
      </c>
      <c r="K30" s="9">
        <f t="shared" si="4"/>
        <v>883.2300750916338</v>
      </c>
      <c r="L30" s="9">
        <f>VLOOKUP(A30,'Source Data'!$A$2:$Q$137,16,FALSE)</f>
        <v>17751448.21000001</v>
      </c>
      <c r="M30" s="9">
        <f t="shared" si="5"/>
        <v>8123.0057748715335</v>
      </c>
      <c r="N30" s="46"/>
      <c r="O30" s="47"/>
      <c r="P30" s="47"/>
      <c r="Q30" s="47"/>
      <c r="R30" s="47"/>
      <c r="S30" s="47"/>
      <c r="T30" s="46"/>
      <c r="U30" s="46"/>
      <c r="V30" s="46"/>
      <c r="W30" s="46"/>
      <c r="X30" s="46"/>
      <c r="Y30" s="46"/>
      <c r="Z30" s="46"/>
      <c r="AA30" s="46"/>
      <c r="AB30" s="46"/>
      <c r="AC30" s="46"/>
      <c r="AD30" s="46"/>
      <c r="AE30" s="46"/>
    </row>
    <row r="31" spans="1:31" ht="12.75">
      <c r="A31" s="22">
        <v>21</v>
      </c>
      <c r="B31" s="8" t="s">
        <v>175</v>
      </c>
      <c r="C31" s="130">
        <f>VLOOKUP(A31,'Source Data'!$A$2:$Q$137,17,FALSE)</f>
        <v>55537.65</v>
      </c>
      <c r="D31" s="9">
        <f t="shared" si="0"/>
        <v>173639667.54999998</v>
      </c>
      <c r="E31" s="9">
        <f t="shared" si="1"/>
        <v>3126.521693841925</v>
      </c>
      <c r="F31" s="9">
        <f>VLOOKUP(A31,'Source Data'!$A$2:$Q$137,7,FALSE)</f>
        <v>177373310.61999997</v>
      </c>
      <c r="G31" s="9">
        <f t="shared" si="2"/>
        <v>3193.748936442215</v>
      </c>
      <c r="H31" s="9">
        <f>VLOOKUP(A31,'Source Data'!$A$2:$Q$137,8,FALSE)</f>
        <v>42219071.63</v>
      </c>
      <c r="I31" s="9">
        <f t="shared" si="3"/>
        <v>760.1882980284546</v>
      </c>
      <c r="J31" s="9">
        <f>VLOOKUP(A31,'Source Data'!$A$2:$Q$137,13,FALSE)</f>
        <v>21469914.270000003</v>
      </c>
      <c r="K31" s="9">
        <f t="shared" si="4"/>
        <v>386.5830525778459</v>
      </c>
      <c r="L31" s="9">
        <f>VLOOKUP(A31,'Source Data'!$A$2:$Q$137,16,FALSE)</f>
        <v>414701964.06999993</v>
      </c>
      <c r="M31" s="9">
        <f t="shared" si="5"/>
        <v>7467.04198089044</v>
      </c>
      <c r="N31" s="46"/>
      <c r="O31" s="47"/>
      <c r="P31" s="47"/>
      <c r="Q31" s="47"/>
      <c r="R31" s="47"/>
      <c r="S31" s="47"/>
      <c r="T31" s="46"/>
      <c r="U31" s="46"/>
      <c r="V31" s="46"/>
      <c r="W31" s="46"/>
      <c r="X31" s="46"/>
      <c r="Y31" s="46"/>
      <c r="Z31" s="46"/>
      <c r="AA31" s="46"/>
      <c r="AB31" s="46"/>
      <c r="AC31" s="46"/>
      <c r="AD31" s="46"/>
      <c r="AE31" s="46"/>
    </row>
    <row r="32" spans="1:31" ht="12.75">
      <c r="A32" s="22">
        <v>22</v>
      </c>
      <c r="B32" s="8" t="s">
        <v>176</v>
      </c>
      <c r="C32" s="130">
        <f>VLOOKUP(A32,'Source Data'!$A$2:$Q$137,17,FALSE)</f>
        <v>2126.93</v>
      </c>
      <c r="D32" s="9">
        <f t="shared" si="0"/>
        <v>9997868.880000008</v>
      </c>
      <c r="E32" s="9">
        <f t="shared" si="1"/>
        <v>4700.610212841988</v>
      </c>
      <c r="F32" s="9">
        <f>VLOOKUP(A32,'Source Data'!$A$2:$Q$137,7,FALSE)</f>
        <v>5193510.42</v>
      </c>
      <c r="G32" s="9">
        <f t="shared" si="2"/>
        <v>2441.7871862261572</v>
      </c>
      <c r="H32" s="9">
        <f>VLOOKUP(A32,'Source Data'!$A$2:$Q$137,8,FALSE)</f>
        <v>1698381.36</v>
      </c>
      <c r="I32" s="9">
        <f t="shared" si="3"/>
        <v>798.5130493246136</v>
      </c>
      <c r="J32" s="9">
        <f>VLOOKUP(A32,'Source Data'!$A$2:$Q$137,13,FALSE)</f>
        <v>931204.31</v>
      </c>
      <c r="K32" s="9">
        <f t="shared" si="4"/>
        <v>437.81615285881537</v>
      </c>
      <c r="L32" s="9">
        <f>VLOOKUP(A32,'Source Data'!$A$2:$Q$137,16,FALSE)</f>
        <v>17820964.970000006</v>
      </c>
      <c r="M32" s="9">
        <f t="shared" si="5"/>
        <v>8378.726601251572</v>
      </c>
      <c r="N32" s="46"/>
      <c r="O32" s="47"/>
      <c r="P32" s="47"/>
      <c r="Q32" s="47"/>
      <c r="R32" s="47"/>
      <c r="S32" s="47"/>
      <c r="T32" s="46"/>
      <c r="U32" s="46"/>
      <c r="V32" s="46"/>
      <c r="W32" s="46"/>
      <c r="X32" s="46"/>
      <c r="Y32" s="46"/>
      <c r="Z32" s="46"/>
      <c r="AA32" s="46"/>
      <c r="AB32" s="46"/>
      <c r="AC32" s="46"/>
      <c r="AD32" s="46"/>
      <c r="AE32" s="46"/>
    </row>
    <row r="33" spans="1:31" ht="12.75">
      <c r="A33" s="22">
        <v>23</v>
      </c>
      <c r="B33" s="8" t="s">
        <v>177</v>
      </c>
      <c r="C33" s="130">
        <f>VLOOKUP(A33,'Source Data'!$A$2:$Q$137,17,FALSE)</f>
        <v>679.93</v>
      </c>
      <c r="D33" s="9">
        <f t="shared" si="0"/>
        <v>1853713.120000001</v>
      </c>
      <c r="E33" s="9">
        <f t="shared" si="1"/>
        <v>2726.3293574338554</v>
      </c>
      <c r="F33" s="9">
        <f>VLOOKUP(A33,'Source Data'!$A$2:$Q$137,7,FALSE)</f>
        <v>2749165.46</v>
      </c>
      <c r="G33" s="9">
        <f t="shared" si="2"/>
        <v>4043.306605091701</v>
      </c>
      <c r="H33" s="9">
        <f>VLOOKUP(A33,'Source Data'!$A$2:$Q$137,8,FALSE)</f>
        <v>676536.58</v>
      </c>
      <c r="I33" s="9">
        <f t="shared" si="3"/>
        <v>995.0091627079258</v>
      </c>
      <c r="J33" s="9">
        <f>VLOOKUP(A33,'Source Data'!$A$2:$Q$137,13,FALSE)</f>
        <v>512968.44</v>
      </c>
      <c r="K33" s="9">
        <f t="shared" si="4"/>
        <v>754.4430161928434</v>
      </c>
      <c r="L33" s="9">
        <f>VLOOKUP(A33,'Source Data'!$A$2:$Q$137,16,FALSE)</f>
        <v>5792383.6000000015</v>
      </c>
      <c r="M33" s="9">
        <f t="shared" si="5"/>
        <v>8519.088141426326</v>
      </c>
      <c r="N33" s="46"/>
      <c r="O33" s="47"/>
      <c r="P33" s="47"/>
      <c r="Q33" s="47"/>
      <c r="R33" s="47"/>
      <c r="S33" s="47"/>
      <c r="T33" s="46"/>
      <c r="U33" s="46"/>
      <c r="V33" s="46"/>
      <c r="W33" s="46"/>
      <c r="X33" s="46"/>
      <c r="Y33" s="46"/>
      <c r="Z33" s="46"/>
      <c r="AA33" s="46"/>
      <c r="AB33" s="46"/>
      <c r="AC33" s="46"/>
      <c r="AD33" s="46"/>
      <c r="AE33" s="46"/>
    </row>
    <row r="34" spans="1:31" ht="12.75">
      <c r="A34" s="22">
        <v>24</v>
      </c>
      <c r="B34" s="8" t="s">
        <v>178</v>
      </c>
      <c r="C34" s="130">
        <f>VLOOKUP(A34,'Source Data'!$A$2:$Q$137,17,FALSE)</f>
        <v>6425</v>
      </c>
      <c r="D34" s="9">
        <f t="shared" si="0"/>
        <v>20566040.040000036</v>
      </c>
      <c r="E34" s="9">
        <f t="shared" si="1"/>
        <v>3200.9400840466983</v>
      </c>
      <c r="F34" s="9">
        <f>VLOOKUP(A34,'Source Data'!$A$2:$Q$137,7,FALSE)</f>
        <v>20582318.740000002</v>
      </c>
      <c r="G34" s="9">
        <f t="shared" si="2"/>
        <v>3203.4737338521404</v>
      </c>
      <c r="H34" s="9">
        <f>VLOOKUP(A34,'Source Data'!$A$2:$Q$137,8,FALSE)</f>
        <v>5128091.88</v>
      </c>
      <c r="I34" s="9">
        <f t="shared" si="3"/>
        <v>798.1465961089494</v>
      </c>
      <c r="J34" s="9">
        <f>VLOOKUP(A34,'Source Data'!$A$2:$Q$137,13,FALSE)</f>
        <v>3959930.34</v>
      </c>
      <c r="K34" s="9">
        <f t="shared" si="4"/>
        <v>616.3315704280155</v>
      </c>
      <c r="L34" s="9">
        <f>VLOOKUP(A34,'Source Data'!$A$2:$Q$137,16,FALSE)</f>
        <v>50236381.000000045</v>
      </c>
      <c r="M34" s="9">
        <f t="shared" si="5"/>
        <v>7818.891984435804</v>
      </c>
      <c r="N34" s="46"/>
      <c r="O34" s="47"/>
      <c r="P34" s="47"/>
      <c r="Q34" s="47"/>
      <c r="R34" s="47"/>
      <c r="S34" s="47"/>
      <c r="T34" s="46"/>
      <c r="U34" s="46"/>
      <c r="V34" s="46"/>
      <c r="W34" s="46"/>
      <c r="X34" s="46"/>
      <c r="Y34" s="46"/>
      <c r="Z34" s="46"/>
      <c r="AA34" s="46"/>
      <c r="AB34" s="46"/>
      <c r="AC34" s="46"/>
      <c r="AD34" s="46"/>
      <c r="AE34" s="46"/>
    </row>
    <row r="35" spans="1:31" ht="12.75">
      <c r="A35" s="22">
        <v>25</v>
      </c>
      <c r="B35" s="8" t="s">
        <v>179</v>
      </c>
      <c r="C35" s="130">
        <f>VLOOKUP(A35,'Source Data'!$A$2:$Q$137,17,FALSE)</f>
        <v>1378.91</v>
      </c>
      <c r="D35" s="9">
        <f t="shared" si="0"/>
        <v>3211753.1700000092</v>
      </c>
      <c r="E35" s="9">
        <f t="shared" si="1"/>
        <v>2329.197097707616</v>
      </c>
      <c r="F35" s="9">
        <f>VLOOKUP(A35,'Source Data'!$A$2:$Q$137,7,FALSE)</f>
        <v>6082277.15</v>
      </c>
      <c r="G35" s="9">
        <f t="shared" si="2"/>
        <v>4410.931206532696</v>
      </c>
      <c r="H35" s="9">
        <f>VLOOKUP(A35,'Source Data'!$A$2:$Q$137,8,FALSE)</f>
        <v>1424470</v>
      </c>
      <c r="I35" s="9">
        <f t="shared" si="3"/>
        <v>1033.0405900312564</v>
      </c>
      <c r="J35" s="9">
        <f>VLOOKUP(A35,'Source Data'!$A$2:$Q$137,13,FALSE)</f>
        <v>2457190.85</v>
      </c>
      <c r="K35" s="9">
        <f t="shared" si="4"/>
        <v>1781.9805861151199</v>
      </c>
      <c r="L35" s="9">
        <f>VLOOKUP(A35,'Source Data'!$A$2:$Q$137,16,FALSE)</f>
        <v>13175691.17000001</v>
      </c>
      <c r="M35" s="9">
        <f t="shared" si="5"/>
        <v>9555.149480386688</v>
      </c>
      <c r="N35" s="46"/>
      <c r="O35" s="47"/>
      <c r="P35" s="47"/>
      <c r="Q35" s="47"/>
      <c r="R35" s="47"/>
      <c r="S35" s="47"/>
      <c r="T35" s="46"/>
      <c r="U35" s="46"/>
      <c r="V35" s="46"/>
      <c r="W35" s="46"/>
      <c r="X35" s="46"/>
      <c r="Y35" s="46"/>
      <c r="Z35" s="46"/>
      <c r="AA35" s="46"/>
      <c r="AB35" s="46"/>
      <c r="AC35" s="46"/>
      <c r="AD35" s="46"/>
      <c r="AE35" s="46"/>
    </row>
    <row r="36" spans="1:31" ht="12.75">
      <c r="A36" s="22">
        <v>26</v>
      </c>
      <c r="B36" s="8" t="s">
        <v>180</v>
      </c>
      <c r="C36" s="130">
        <f>VLOOKUP(A36,'Source Data'!$A$2:$Q$137,17,FALSE)</f>
        <v>2520.98</v>
      </c>
      <c r="D36" s="9">
        <f t="shared" si="0"/>
        <v>5366929.699999984</v>
      </c>
      <c r="E36" s="9">
        <f t="shared" si="1"/>
        <v>2128.9061000087204</v>
      </c>
      <c r="F36" s="9">
        <f>VLOOKUP(A36,'Source Data'!$A$2:$Q$137,7,FALSE)</f>
        <v>11604056.3</v>
      </c>
      <c r="G36" s="9">
        <f t="shared" si="2"/>
        <v>4602.994192734572</v>
      </c>
      <c r="H36" s="9">
        <f>VLOOKUP(A36,'Source Data'!$A$2:$Q$137,8,FALSE)</f>
        <v>2071200.12</v>
      </c>
      <c r="I36" s="9">
        <f t="shared" si="3"/>
        <v>821.5853041277599</v>
      </c>
      <c r="J36" s="9">
        <f>VLOOKUP(A36,'Source Data'!$A$2:$Q$137,13,FALSE)</f>
        <v>2610596.72</v>
      </c>
      <c r="K36" s="9">
        <f t="shared" si="4"/>
        <v>1035.5483661115916</v>
      </c>
      <c r="L36" s="9">
        <f>VLOOKUP(A36,'Source Data'!$A$2:$Q$137,16,FALSE)</f>
        <v>21652782.839999985</v>
      </c>
      <c r="M36" s="9">
        <f t="shared" si="5"/>
        <v>8589.033962982643</v>
      </c>
      <c r="N36" s="46"/>
      <c r="O36" s="47"/>
      <c r="P36" s="47"/>
      <c r="Q36" s="47"/>
      <c r="R36" s="47"/>
      <c r="S36" s="47"/>
      <c r="T36" s="46"/>
      <c r="U36" s="46"/>
      <c r="V36" s="46"/>
      <c r="W36" s="46"/>
      <c r="X36" s="46"/>
      <c r="Y36" s="46"/>
      <c r="Z36" s="46"/>
      <c r="AA36" s="46"/>
      <c r="AB36" s="46"/>
      <c r="AC36" s="46"/>
      <c r="AD36" s="46"/>
      <c r="AE36" s="46"/>
    </row>
    <row r="37" spans="1:31" ht="12.75">
      <c r="A37" s="22">
        <v>27</v>
      </c>
      <c r="B37" s="8" t="s">
        <v>181</v>
      </c>
      <c r="C37" s="130">
        <f>VLOOKUP(A37,'Source Data'!$A$2:$Q$137,17,FALSE)</f>
        <v>4488.94</v>
      </c>
      <c r="D37" s="9">
        <f t="shared" si="0"/>
        <v>13574911.159999974</v>
      </c>
      <c r="E37" s="9">
        <f t="shared" si="1"/>
        <v>3024.0794396895426</v>
      </c>
      <c r="F37" s="9">
        <f>VLOOKUP(A37,'Source Data'!$A$2:$Q$137,7,FALSE)</f>
        <v>17713386.14</v>
      </c>
      <c r="G37" s="9">
        <f t="shared" si="2"/>
        <v>3946.006438045508</v>
      </c>
      <c r="H37" s="9">
        <f>VLOOKUP(A37,'Source Data'!$A$2:$Q$137,8,FALSE)</f>
        <v>3323163.78</v>
      </c>
      <c r="I37" s="9">
        <f t="shared" si="3"/>
        <v>740.3003337090717</v>
      </c>
      <c r="J37" s="9">
        <f>VLOOKUP(A37,'Source Data'!$A$2:$Q$137,13,FALSE)</f>
        <v>2482538.55</v>
      </c>
      <c r="K37" s="9">
        <f t="shared" si="4"/>
        <v>553.0344691619848</v>
      </c>
      <c r="L37" s="9">
        <f>VLOOKUP(A37,'Source Data'!$A$2:$Q$137,16,FALSE)</f>
        <v>37093999.62999997</v>
      </c>
      <c r="M37" s="9">
        <f t="shared" si="5"/>
        <v>8263.420680606107</v>
      </c>
      <c r="N37" s="46"/>
      <c r="O37" s="47"/>
      <c r="P37" s="47"/>
      <c r="Q37" s="47"/>
      <c r="R37" s="47"/>
      <c r="S37" s="47"/>
      <c r="T37" s="46"/>
      <c r="U37" s="46"/>
      <c r="V37" s="46"/>
      <c r="W37" s="46"/>
      <c r="X37" s="46"/>
      <c r="Y37" s="46"/>
      <c r="Z37" s="46"/>
      <c r="AA37" s="46"/>
      <c r="AB37" s="46"/>
      <c r="AC37" s="46"/>
      <c r="AD37" s="46"/>
      <c r="AE37" s="46"/>
    </row>
    <row r="38" spans="1:31" ht="12.75">
      <c r="A38" s="22">
        <v>28</v>
      </c>
      <c r="B38" s="8" t="s">
        <v>182</v>
      </c>
      <c r="C38" s="130">
        <f>VLOOKUP(A38,'Source Data'!$A$2:$Q$137,17,FALSE)</f>
        <v>1545.8</v>
      </c>
      <c r="D38" s="9">
        <f t="shared" si="0"/>
        <v>5305588.170000001</v>
      </c>
      <c r="E38" s="9">
        <f t="shared" si="1"/>
        <v>3432.260428257214</v>
      </c>
      <c r="F38" s="9">
        <f>VLOOKUP(A38,'Source Data'!$A$2:$Q$137,7,FALSE)</f>
        <v>5521908.46</v>
      </c>
      <c r="G38" s="9">
        <f t="shared" si="2"/>
        <v>3572.201099754173</v>
      </c>
      <c r="H38" s="9">
        <f>VLOOKUP(A38,'Source Data'!$A$2:$Q$137,8,FALSE)</f>
        <v>1441836.68</v>
      </c>
      <c r="I38" s="9">
        <f t="shared" si="3"/>
        <v>932.7446500194075</v>
      </c>
      <c r="J38" s="9">
        <f>VLOOKUP(A38,'Source Data'!$A$2:$Q$137,13,FALSE)</f>
        <v>1037324.07</v>
      </c>
      <c r="K38" s="9">
        <f t="shared" si="4"/>
        <v>671.0596907750032</v>
      </c>
      <c r="L38" s="9">
        <f>VLOOKUP(A38,'Source Data'!$A$2:$Q$137,16,FALSE)</f>
        <v>13306657.38</v>
      </c>
      <c r="M38" s="9">
        <f t="shared" si="5"/>
        <v>8608.265868805796</v>
      </c>
      <c r="N38" s="46"/>
      <c r="O38" s="47"/>
      <c r="P38" s="47"/>
      <c r="Q38" s="47"/>
      <c r="R38" s="47"/>
      <c r="S38" s="47"/>
      <c r="T38" s="46"/>
      <c r="U38" s="46"/>
      <c r="V38" s="46"/>
      <c r="W38" s="46"/>
      <c r="X38" s="46"/>
      <c r="Y38" s="46"/>
      <c r="Z38" s="46"/>
      <c r="AA38" s="46"/>
      <c r="AB38" s="46"/>
      <c r="AC38" s="46"/>
      <c r="AD38" s="46"/>
      <c r="AE38" s="46"/>
    </row>
    <row r="39" spans="1:31" ht="13.5">
      <c r="A39" s="22">
        <v>29</v>
      </c>
      <c r="B39" s="8" t="s">
        <v>631</v>
      </c>
      <c r="C39" s="130">
        <f>VLOOKUP(A39,'Source Data'!$A$2:$Q$137,17,FALSE)</f>
        <v>158937.02</v>
      </c>
      <c r="D39" s="9">
        <f t="shared" si="0"/>
        <v>1337688937.429999</v>
      </c>
      <c r="E39" s="9">
        <f t="shared" si="1"/>
        <v>8416.471741007848</v>
      </c>
      <c r="F39" s="9">
        <f>VLOOKUP(A39,'Source Data'!$A$2:$Q$137,7,FALSE)</f>
        <v>230758183.99000004</v>
      </c>
      <c r="G39" s="9">
        <f t="shared" si="2"/>
        <v>1451.8844256045575</v>
      </c>
      <c r="H39" s="9">
        <f>VLOOKUP(A39,'Source Data'!$A$2:$Q$137,8,FALSE)</f>
        <v>141588155.56</v>
      </c>
      <c r="I39" s="9">
        <f t="shared" si="3"/>
        <v>890.8444084329756</v>
      </c>
      <c r="J39" s="9">
        <f>VLOOKUP(A39,'Source Data'!$A$2:$Q$137,13,FALSE)</f>
        <v>77905012.92999999</v>
      </c>
      <c r="K39" s="9">
        <f t="shared" si="4"/>
        <v>490.16278856870474</v>
      </c>
      <c r="L39" s="9">
        <f>VLOOKUP(A39,'Source Data'!$A$2:$Q$137,16,FALSE)</f>
        <v>1787940289.9099991</v>
      </c>
      <c r="M39" s="9">
        <f t="shared" si="5"/>
        <v>11249.363363614086</v>
      </c>
      <c r="N39" s="46"/>
      <c r="O39" s="47"/>
      <c r="P39" s="47"/>
      <c r="Q39" s="47"/>
      <c r="R39" s="47"/>
      <c r="S39" s="47"/>
      <c r="T39" s="46"/>
      <c r="U39" s="46"/>
      <c r="V39" s="46"/>
      <c r="W39" s="46"/>
      <c r="X39" s="46"/>
      <c r="Y39" s="46"/>
      <c r="Z39" s="46"/>
      <c r="AA39" s="46"/>
      <c r="AB39" s="46"/>
      <c r="AC39" s="46"/>
      <c r="AD39" s="46"/>
      <c r="AE39" s="46"/>
    </row>
    <row r="40" spans="1:31" ht="12.75">
      <c r="A40" s="22">
        <v>30</v>
      </c>
      <c r="B40" s="8" t="s">
        <v>183</v>
      </c>
      <c r="C40" s="130">
        <f>VLOOKUP(A40,'Source Data'!$A$2:$Q$137,17,FALSE)</f>
        <v>10688.58</v>
      </c>
      <c r="D40" s="9">
        <f t="shared" si="0"/>
        <v>64851740.73999995</v>
      </c>
      <c r="E40" s="9">
        <f t="shared" si="1"/>
        <v>6067.386008244309</v>
      </c>
      <c r="F40" s="9">
        <f>VLOOKUP(A40,'Source Data'!$A$2:$Q$137,7,FALSE)</f>
        <v>20524152.830000002</v>
      </c>
      <c r="G40" s="9">
        <f t="shared" si="2"/>
        <v>1920.1945281786732</v>
      </c>
      <c r="H40" s="9">
        <f>VLOOKUP(A40,'Source Data'!$A$2:$Q$137,8,FALSE)</f>
        <v>9037238.98</v>
      </c>
      <c r="I40" s="9">
        <f t="shared" si="3"/>
        <v>845.5041717421772</v>
      </c>
      <c r="J40" s="9">
        <f>VLOOKUP(A40,'Source Data'!$A$2:$Q$137,13,FALSE)</f>
        <v>4432170.45</v>
      </c>
      <c r="K40" s="9">
        <f t="shared" si="4"/>
        <v>414.66410411860136</v>
      </c>
      <c r="L40" s="9">
        <f>VLOOKUP(A40,'Source Data'!$A$2:$Q$137,16,FALSE)</f>
        <v>98845302.99999996</v>
      </c>
      <c r="M40" s="9">
        <f t="shared" si="5"/>
        <v>9247.74881228376</v>
      </c>
      <c r="N40" s="46"/>
      <c r="O40" s="47"/>
      <c r="P40" s="47"/>
      <c r="Q40" s="47"/>
      <c r="R40" s="47"/>
      <c r="S40" s="47"/>
      <c r="T40" s="46"/>
      <c r="U40" s="46"/>
      <c r="V40" s="46"/>
      <c r="W40" s="46"/>
      <c r="X40" s="46"/>
      <c r="Y40" s="46"/>
      <c r="Z40" s="46"/>
      <c r="AA40" s="46"/>
      <c r="AB40" s="46"/>
      <c r="AC40" s="46"/>
      <c r="AD40" s="46"/>
      <c r="AE40" s="46"/>
    </row>
    <row r="41" spans="1:31" ht="12.75">
      <c r="A41" s="22">
        <v>31</v>
      </c>
      <c r="B41" s="8" t="s">
        <v>184</v>
      </c>
      <c r="C41" s="130">
        <f>VLOOKUP(A41,'Source Data'!$A$2:$Q$137,17,FALSE)</f>
        <v>2080.96</v>
      </c>
      <c r="D41" s="9">
        <f t="shared" si="0"/>
        <v>5315223.470000005</v>
      </c>
      <c r="E41" s="9">
        <f t="shared" si="1"/>
        <v>2554.2170296401687</v>
      </c>
      <c r="F41" s="9">
        <f>VLOOKUP(A41,'Source Data'!$A$2:$Q$137,7,FALSE)</f>
        <v>8156700.9799999995</v>
      </c>
      <c r="G41" s="9">
        <f t="shared" si="2"/>
        <v>3919.681771874519</v>
      </c>
      <c r="H41" s="9">
        <f>VLOOKUP(A41,'Source Data'!$A$2:$Q$137,8,FALSE)</f>
        <v>1689955.16</v>
      </c>
      <c r="I41" s="9">
        <f t="shared" si="3"/>
        <v>812.1036252498847</v>
      </c>
      <c r="J41" s="9">
        <f>VLOOKUP(A41,'Source Data'!$A$2:$Q$137,13,FALSE)</f>
        <v>1369154.18</v>
      </c>
      <c r="K41" s="9">
        <f t="shared" si="4"/>
        <v>657.9435356758419</v>
      </c>
      <c r="L41" s="9">
        <f>VLOOKUP(A41,'Source Data'!$A$2:$Q$137,16,FALSE)</f>
        <v>16531033.790000005</v>
      </c>
      <c r="M41" s="9">
        <f t="shared" si="5"/>
        <v>7943.945962440414</v>
      </c>
      <c r="N41" s="46"/>
      <c r="O41" s="47"/>
      <c r="P41" s="47"/>
      <c r="Q41" s="47"/>
      <c r="R41" s="47"/>
      <c r="S41" s="47"/>
      <c r="T41" s="46"/>
      <c r="U41" s="46"/>
      <c r="V41" s="46"/>
      <c r="W41" s="46"/>
      <c r="X41" s="46"/>
      <c r="Y41" s="46"/>
      <c r="Z41" s="46"/>
      <c r="AA41" s="46"/>
      <c r="AB41" s="46"/>
      <c r="AC41" s="46"/>
      <c r="AD41" s="46"/>
      <c r="AE41" s="46"/>
    </row>
    <row r="42" spans="1:31" ht="12.75">
      <c r="A42" s="22">
        <v>32</v>
      </c>
      <c r="B42" s="8" t="s">
        <v>185</v>
      </c>
      <c r="C42" s="130">
        <f>VLOOKUP(A42,'Source Data'!$A$2:$Q$137,17,FALSE)</f>
        <v>3588</v>
      </c>
      <c r="D42" s="9">
        <f t="shared" si="0"/>
        <v>11340510.860000005</v>
      </c>
      <c r="E42" s="9">
        <f t="shared" si="1"/>
        <v>3160.6774972129333</v>
      </c>
      <c r="F42" s="9">
        <f>VLOOKUP(A42,'Source Data'!$A$2:$Q$137,7,FALSE)</f>
        <v>12443376.039999997</v>
      </c>
      <c r="G42" s="9">
        <f t="shared" si="2"/>
        <v>3468.053522853957</v>
      </c>
      <c r="H42" s="9">
        <f>VLOOKUP(A42,'Source Data'!$A$2:$Q$137,8,FALSE)</f>
        <v>2361639.52</v>
      </c>
      <c r="I42" s="9">
        <f t="shared" si="3"/>
        <v>658.204994425864</v>
      </c>
      <c r="J42" s="9">
        <f>VLOOKUP(A42,'Source Data'!$A$2:$Q$137,13,FALSE)</f>
        <v>1172821.64</v>
      </c>
      <c r="K42" s="9">
        <f t="shared" si="4"/>
        <v>326.8733667781494</v>
      </c>
      <c r="L42" s="9">
        <f>VLOOKUP(A42,'Source Data'!$A$2:$Q$137,16,FALSE)</f>
        <v>27318348.060000002</v>
      </c>
      <c r="M42" s="9">
        <f t="shared" si="5"/>
        <v>7613.809381270904</v>
      </c>
      <c r="N42" s="46"/>
      <c r="O42" s="47"/>
      <c r="P42" s="47"/>
      <c r="Q42" s="47"/>
      <c r="R42" s="47"/>
      <c r="S42" s="47"/>
      <c r="T42" s="46"/>
      <c r="U42" s="46"/>
      <c r="V42" s="46"/>
      <c r="W42" s="46"/>
      <c r="X42" s="46"/>
      <c r="Y42" s="46"/>
      <c r="Z42" s="46"/>
      <c r="AA42" s="46"/>
      <c r="AB42" s="46"/>
      <c r="AC42" s="46"/>
      <c r="AD42" s="46"/>
      <c r="AE42" s="46"/>
    </row>
    <row r="43" spans="1:31" ht="12.75">
      <c r="A43" s="22">
        <v>33</v>
      </c>
      <c r="B43" s="8" t="s">
        <v>186</v>
      </c>
      <c r="C43" s="130">
        <f>VLOOKUP(A43,'Source Data'!$A$2:$Q$137,17,FALSE)</f>
        <v>7152.14</v>
      </c>
      <c r="D43" s="9">
        <f t="shared" si="0"/>
        <v>21290583.24999996</v>
      </c>
      <c r="E43" s="9">
        <f t="shared" si="1"/>
        <v>2976.812988839698</v>
      </c>
      <c r="F43" s="9">
        <f>VLOOKUP(A43,'Source Data'!$A$2:$Q$137,7,FALSE)</f>
        <v>25750187.2</v>
      </c>
      <c r="G43" s="9">
        <f t="shared" si="2"/>
        <v>3600.3471967830606</v>
      </c>
      <c r="H43" s="9">
        <f>VLOOKUP(A43,'Source Data'!$A$2:$Q$137,8,FALSE)</f>
        <v>5940490.34</v>
      </c>
      <c r="I43" s="9">
        <f t="shared" si="3"/>
        <v>830.5892138576705</v>
      </c>
      <c r="J43" s="9">
        <f>VLOOKUP(A43,'Source Data'!$A$2:$Q$137,13,FALSE)</f>
        <v>5681076.330000002</v>
      </c>
      <c r="K43" s="9">
        <f t="shared" si="4"/>
        <v>794.3183900203298</v>
      </c>
      <c r="L43" s="9">
        <f>VLOOKUP(A43,'Source Data'!$A$2:$Q$137,16,FALSE)</f>
        <v>58662337.11999997</v>
      </c>
      <c r="M43" s="9">
        <f t="shared" si="5"/>
        <v>8202.06778950076</v>
      </c>
      <c r="N43" s="46"/>
      <c r="O43" s="47"/>
      <c r="P43" s="47"/>
      <c r="Q43" s="47"/>
      <c r="R43" s="47"/>
      <c r="S43" s="47"/>
      <c r="T43" s="46"/>
      <c r="U43" s="46"/>
      <c r="V43" s="46"/>
      <c r="W43" s="46"/>
      <c r="X43" s="46"/>
      <c r="Y43" s="46"/>
      <c r="Z43" s="46"/>
      <c r="AA43" s="46"/>
      <c r="AB43" s="46"/>
      <c r="AC43" s="46"/>
      <c r="AD43" s="46"/>
      <c r="AE43" s="46"/>
    </row>
    <row r="44" spans="1:31" ht="12.75">
      <c r="A44" s="22">
        <v>34</v>
      </c>
      <c r="B44" s="8" t="s">
        <v>187</v>
      </c>
      <c r="C44" s="130">
        <f>VLOOKUP(A44,'Source Data'!$A$2:$Q$137,17,FALSE)</f>
        <v>11718.08</v>
      </c>
      <c r="D44" s="9">
        <f t="shared" si="0"/>
        <v>47437104.45999995</v>
      </c>
      <c r="E44" s="9">
        <f t="shared" si="1"/>
        <v>4048.1976962096137</v>
      </c>
      <c r="F44" s="9">
        <f>VLOOKUP(A44,'Source Data'!$A$2:$Q$137,7,FALSE)</f>
        <v>39819036.36</v>
      </c>
      <c r="G44" s="9">
        <f t="shared" si="2"/>
        <v>3398.0853825882737</v>
      </c>
      <c r="H44" s="9">
        <f>VLOOKUP(A44,'Source Data'!$A$2:$Q$137,8,FALSE)</f>
        <v>8827657.6</v>
      </c>
      <c r="I44" s="9">
        <f t="shared" si="3"/>
        <v>753.336519293263</v>
      </c>
      <c r="J44" s="9">
        <f>VLOOKUP(A44,'Source Data'!$A$2:$Q$137,13,FALSE)</f>
        <v>4691224.72</v>
      </c>
      <c r="K44" s="9">
        <f t="shared" si="4"/>
        <v>400.3407315874273</v>
      </c>
      <c r="L44" s="9">
        <f>VLOOKUP(A44,'Source Data'!$A$2:$Q$137,16,FALSE)</f>
        <v>100775023.13999994</v>
      </c>
      <c r="M44" s="9">
        <f t="shared" si="5"/>
        <v>8599.960329678577</v>
      </c>
      <c r="N44" s="46"/>
      <c r="O44" s="47"/>
      <c r="P44" s="47"/>
      <c r="Q44" s="47"/>
      <c r="R44" s="47"/>
      <c r="S44" s="47"/>
      <c r="T44" s="46"/>
      <c r="U44" s="46"/>
      <c r="V44" s="46"/>
      <c r="W44" s="46"/>
      <c r="X44" s="46"/>
      <c r="Y44" s="46"/>
      <c r="Z44" s="46"/>
      <c r="AA44" s="46"/>
      <c r="AB44" s="46"/>
      <c r="AC44" s="46"/>
      <c r="AD44" s="46"/>
      <c r="AE44" s="46"/>
    </row>
    <row r="45" spans="1:31" ht="12.75">
      <c r="A45" s="22">
        <v>35</v>
      </c>
      <c r="B45" s="8" t="s">
        <v>188</v>
      </c>
      <c r="C45" s="130">
        <f>VLOOKUP(A45,'Source Data'!$A$2:$Q$137,17,FALSE)</f>
        <v>2536.28</v>
      </c>
      <c r="D45" s="9">
        <f t="shared" si="0"/>
        <v>6503770.8100000005</v>
      </c>
      <c r="E45" s="9">
        <f t="shared" si="1"/>
        <v>2564.2952710268582</v>
      </c>
      <c r="F45" s="9">
        <f>VLOOKUP(A45,'Source Data'!$A$2:$Q$137,7,FALSE)</f>
        <v>9626512.549999999</v>
      </c>
      <c r="G45" s="9">
        <f t="shared" si="2"/>
        <v>3795.524370337659</v>
      </c>
      <c r="H45" s="9">
        <f>VLOOKUP(A45,'Source Data'!$A$2:$Q$137,8,FALSE)</f>
        <v>2191812.18</v>
      </c>
      <c r="I45" s="9">
        <f t="shared" si="3"/>
        <v>864.1838361695081</v>
      </c>
      <c r="J45" s="9">
        <f>VLOOKUP(A45,'Source Data'!$A$2:$Q$137,13,FALSE)</f>
        <v>1377542.18</v>
      </c>
      <c r="K45" s="9">
        <f t="shared" si="4"/>
        <v>543.1348983550712</v>
      </c>
      <c r="L45" s="9">
        <f>VLOOKUP(A45,'Source Data'!$A$2:$Q$137,16,FALSE)</f>
        <v>19699637.72</v>
      </c>
      <c r="M45" s="9">
        <f t="shared" si="5"/>
        <v>7767.138375889096</v>
      </c>
      <c r="N45" s="46"/>
      <c r="O45" s="47"/>
      <c r="P45" s="47"/>
      <c r="Q45" s="47"/>
      <c r="R45" s="47"/>
      <c r="S45" s="47"/>
      <c r="T45" s="46"/>
      <c r="U45" s="46"/>
      <c r="V45" s="46"/>
      <c r="W45" s="46"/>
      <c r="X45" s="46"/>
      <c r="Y45" s="46"/>
      <c r="Z45" s="46"/>
      <c r="AA45" s="46"/>
      <c r="AB45" s="46"/>
      <c r="AC45" s="46"/>
      <c r="AD45" s="46"/>
      <c r="AE45" s="46"/>
    </row>
    <row r="46" spans="1:31" ht="12.75">
      <c r="A46" s="22">
        <v>36</v>
      </c>
      <c r="B46" s="8" t="s">
        <v>189</v>
      </c>
      <c r="C46" s="130">
        <f>VLOOKUP(A46,'Source Data'!$A$2:$Q$137,17,FALSE)</f>
        <v>6072.33</v>
      </c>
      <c r="D46" s="9">
        <f t="shared" si="0"/>
        <v>19325747.47999997</v>
      </c>
      <c r="E46" s="9">
        <f t="shared" si="1"/>
        <v>3182.5917695513867</v>
      </c>
      <c r="F46" s="9">
        <f>VLOOKUP(A46,'Source Data'!$A$2:$Q$137,7,FALSE)</f>
        <v>22457231.139999997</v>
      </c>
      <c r="G46" s="9">
        <f t="shared" si="2"/>
        <v>3698.28898297688</v>
      </c>
      <c r="H46" s="9">
        <f>VLOOKUP(A46,'Source Data'!$A$2:$Q$137,8,FALSE)</f>
        <v>5387436.5600000005</v>
      </c>
      <c r="I46" s="9">
        <f t="shared" si="3"/>
        <v>887.2107675307502</v>
      </c>
      <c r="J46" s="9">
        <f>VLOOKUP(A46,'Source Data'!$A$2:$Q$137,13,FALSE)</f>
        <v>3311666.11</v>
      </c>
      <c r="K46" s="9">
        <f t="shared" si="4"/>
        <v>545.369917313453</v>
      </c>
      <c r="L46" s="9">
        <f>VLOOKUP(A46,'Source Data'!$A$2:$Q$137,16,FALSE)</f>
        <v>50482081.28999997</v>
      </c>
      <c r="M46" s="9">
        <f t="shared" si="5"/>
        <v>8313.46143737247</v>
      </c>
      <c r="N46" s="46"/>
      <c r="O46" s="47"/>
      <c r="P46" s="47"/>
      <c r="Q46" s="47"/>
      <c r="R46" s="47"/>
      <c r="S46" s="47"/>
      <c r="T46" s="46"/>
      <c r="U46" s="46"/>
      <c r="V46" s="46"/>
      <c r="W46" s="46"/>
      <c r="X46" s="46"/>
      <c r="Y46" s="46"/>
      <c r="Z46" s="46"/>
      <c r="AA46" s="46"/>
      <c r="AB46" s="46"/>
      <c r="AC46" s="46"/>
      <c r="AD46" s="46"/>
      <c r="AE46" s="46"/>
    </row>
    <row r="47" spans="1:31" ht="12.75">
      <c r="A47" s="22">
        <v>37</v>
      </c>
      <c r="B47" s="8" t="s">
        <v>190</v>
      </c>
      <c r="C47" s="130">
        <f>VLOOKUP(A47,'Source Data'!$A$2:$Q$137,17,FALSE)</f>
        <v>2169.2</v>
      </c>
      <c r="D47" s="9">
        <f t="shared" si="0"/>
        <v>13763542.40000001</v>
      </c>
      <c r="E47" s="9">
        <f t="shared" si="1"/>
        <v>6344.985432417486</v>
      </c>
      <c r="F47" s="9">
        <f>VLOOKUP(A47,'Source Data'!$A$2:$Q$137,7,FALSE)</f>
        <v>2606774.29</v>
      </c>
      <c r="G47" s="9">
        <f t="shared" si="2"/>
        <v>1201.7215056241935</v>
      </c>
      <c r="H47" s="9">
        <f>VLOOKUP(A47,'Source Data'!$A$2:$Q$137,8,FALSE)</f>
        <v>1734318.18</v>
      </c>
      <c r="I47" s="9">
        <f t="shared" si="3"/>
        <v>799.5197215563342</v>
      </c>
      <c r="J47" s="9">
        <f>VLOOKUP(A47,'Source Data'!$A$2:$Q$137,13,FALSE)</f>
        <v>1031124.55</v>
      </c>
      <c r="K47" s="9">
        <f t="shared" si="4"/>
        <v>475.3478471325835</v>
      </c>
      <c r="L47" s="9">
        <f>VLOOKUP(A47,'Source Data'!$A$2:$Q$137,16,FALSE)</f>
        <v>19135759.42000001</v>
      </c>
      <c r="M47" s="9">
        <f t="shared" si="5"/>
        <v>8821.574506730596</v>
      </c>
      <c r="N47" s="46"/>
      <c r="O47" s="47"/>
      <c r="P47" s="47"/>
      <c r="Q47" s="47"/>
      <c r="R47" s="47"/>
      <c r="S47" s="47"/>
      <c r="T47" s="46"/>
      <c r="U47" s="46"/>
      <c r="V47" s="46"/>
      <c r="W47" s="46"/>
      <c r="X47" s="46"/>
      <c r="Y47" s="46"/>
      <c r="Z47" s="46"/>
      <c r="AA47" s="46"/>
      <c r="AB47" s="46"/>
      <c r="AC47" s="46"/>
      <c r="AD47" s="46"/>
      <c r="AE47" s="46"/>
    </row>
    <row r="48" spans="1:31" ht="12.75">
      <c r="A48" s="22">
        <v>38</v>
      </c>
      <c r="B48" s="8" t="s">
        <v>191</v>
      </c>
      <c r="C48" s="130">
        <f>VLOOKUP(A48,'Source Data'!$A$2:$Q$137,17,FALSE)</f>
        <v>2177.21</v>
      </c>
      <c r="D48" s="9">
        <f t="shared" si="0"/>
        <v>4748571.099999974</v>
      </c>
      <c r="E48" s="9">
        <f t="shared" si="1"/>
        <v>2181.0349483972486</v>
      </c>
      <c r="F48" s="9">
        <f>VLOOKUP(A48,'Source Data'!$A$2:$Q$137,7,FALSE)</f>
        <v>9629548.540000001</v>
      </c>
      <c r="G48" s="9">
        <f t="shared" si="2"/>
        <v>4422.88458164348</v>
      </c>
      <c r="H48" s="9">
        <f>VLOOKUP(A48,'Source Data'!$A$2:$Q$137,8,FALSE)</f>
        <v>1841759.98</v>
      </c>
      <c r="I48" s="9">
        <f t="shared" si="3"/>
        <v>845.9266584298254</v>
      </c>
      <c r="J48" s="9">
        <f>VLOOKUP(A48,'Source Data'!$A$2:$Q$137,13,FALSE)</f>
        <v>2357989.86</v>
      </c>
      <c r="K48" s="9">
        <f t="shared" si="4"/>
        <v>1083.0328080433214</v>
      </c>
      <c r="L48" s="9">
        <f>VLOOKUP(A48,'Source Data'!$A$2:$Q$137,16,FALSE)</f>
        <v>18577869.479999974</v>
      </c>
      <c r="M48" s="9">
        <f t="shared" si="5"/>
        <v>8532.878996513875</v>
      </c>
      <c r="N48" s="46"/>
      <c r="O48" s="47"/>
      <c r="P48" s="47"/>
      <c r="Q48" s="47"/>
      <c r="R48" s="47"/>
      <c r="S48" s="47"/>
      <c r="T48" s="46"/>
      <c r="U48" s="46"/>
      <c r="V48" s="46"/>
      <c r="W48" s="46"/>
      <c r="X48" s="46"/>
      <c r="Y48" s="46"/>
      <c r="Z48" s="46"/>
      <c r="AA48" s="46"/>
      <c r="AB48" s="46"/>
      <c r="AC48" s="46"/>
      <c r="AD48" s="46"/>
      <c r="AE48" s="46"/>
    </row>
    <row r="49" spans="1:31" ht="12.75">
      <c r="A49" s="22">
        <v>39</v>
      </c>
      <c r="B49" s="8" t="s">
        <v>192</v>
      </c>
      <c r="C49" s="130">
        <f>VLOOKUP(A49,'Source Data'!$A$2:$Q$137,17,FALSE)</f>
        <v>2651.83</v>
      </c>
      <c r="D49" s="9">
        <f t="shared" si="0"/>
        <v>7821663.110000024</v>
      </c>
      <c r="E49" s="9">
        <f t="shared" si="1"/>
        <v>2949.53413680365</v>
      </c>
      <c r="F49" s="9">
        <f>VLOOKUP(A49,'Source Data'!$A$2:$Q$137,7,FALSE)</f>
        <v>11454738.1</v>
      </c>
      <c r="G49" s="9">
        <f t="shared" si="2"/>
        <v>4319.559737992255</v>
      </c>
      <c r="H49" s="9">
        <f>VLOOKUP(A49,'Source Data'!$A$2:$Q$137,8,FALSE)</f>
        <v>2198152.62</v>
      </c>
      <c r="I49" s="9">
        <f t="shared" si="3"/>
        <v>828.9191313168643</v>
      </c>
      <c r="J49" s="9">
        <f>VLOOKUP(A49,'Source Data'!$A$2:$Q$137,13,FALSE)</f>
        <v>1448429.18</v>
      </c>
      <c r="K49" s="9">
        <f t="shared" si="4"/>
        <v>546.1998619821029</v>
      </c>
      <c r="L49" s="9">
        <f>VLOOKUP(A49,'Source Data'!$A$2:$Q$137,16,FALSE)</f>
        <v>22922983.010000024</v>
      </c>
      <c r="M49" s="9">
        <f t="shared" si="5"/>
        <v>8644.212868094872</v>
      </c>
      <c r="N49" s="46"/>
      <c r="O49" s="47"/>
      <c r="P49" s="47"/>
      <c r="Q49" s="47"/>
      <c r="R49" s="47"/>
      <c r="S49" s="47"/>
      <c r="T49" s="46"/>
      <c r="U49" s="46"/>
      <c r="V49" s="46"/>
      <c r="W49" s="46"/>
      <c r="X49" s="46"/>
      <c r="Y49" s="46"/>
      <c r="Z49" s="46"/>
      <c r="AA49" s="46"/>
      <c r="AB49" s="46"/>
      <c r="AC49" s="46"/>
      <c r="AD49" s="46"/>
      <c r="AE49" s="46"/>
    </row>
    <row r="50" spans="1:31" ht="13.5">
      <c r="A50" s="22">
        <v>40</v>
      </c>
      <c r="B50" s="8" t="s">
        <v>632</v>
      </c>
      <c r="C50" s="130">
        <f>VLOOKUP(A50,'Source Data'!$A$2:$Q$137,17,FALSE)</f>
        <v>1618.29</v>
      </c>
      <c r="D50" s="9">
        <f t="shared" si="0"/>
        <v>3328451.049999982</v>
      </c>
      <c r="E50" s="9">
        <f t="shared" si="1"/>
        <v>2056.770449054238</v>
      </c>
      <c r="F50" s="9">
        <f>VLOOKUP(A50,'Source Data'!$A$2:$Q$137,7,FALSE)</f>
        <v>8102454.209999999</v>
      </c>
      <c r="G50" s="9">
        <f t="shared" si="2"/>
        <v>5006.799899894332</v>
      </c>
      <c r="H50" s="9">
        <f>VLOOKUP(A50,'Source Data'!$A$2:$Q$137,8,FALSE)</f>
        <v>1314255.52</v>
      </c>
      <c r="I50" s="9">
        <f t="shared" si="3"/>
        <v>812.12608370564</v>
      </c>
      <c r="J50" s="9">
        <f>VLOOKUP(A50,'Source Data'!$A$2:$Q$137,13,FALSE)</f>
        <v>1855260.94</v>
      </c>
      <c r="K50" s="9">
        <f t="shared" si="4"/>
        <v>1146.4329261133666</v>
      </c>
      <c r="L50" s="9">
        <f>VLOOKUP(A50,'Source Data'!$A$2:$Q$137,16,FALSE)</f>
        <v>14600421.71999998</v>
      </c>
      <c r="M50" s="9">
        <f t="shared" si="5"/>
        <v>9022.129358767575</v>
      </c>
      <c r="N50" s="46"/>
      <c r="O50" s="47"/>
      <c r="P50" s="47"/>
      <c r="Q50" s="47"/>
      <c r="R50" s="47"/>
      <c r="S50" s="47"/>
      <c r="T50" s="46"/>
      <c r="U50" s="46"/>
      <c r="V50" s="46"/>
      <c r="W50" s="46"/>
      <c r="X50" s="46"/>
      <c r="Y50" s="46"/>
      <c r="Z50" s="46"/>
      <c r="AA50" s="46"/>
      <c r="AB50" s="46"/>
      <c r="AC50" s="46"/>
      <c r="AD50" s="46"/>
      <c r="AE50" s="46"/>
    </row>
    <row r="51" spans="1:31" ht="12.75">
      <c r="A51" s="22">
        <v>41</v>
      </c>
      <c r="B51" s="8" t="s">
        <v>193</v>
      </c>
      <c r="C51" s="130">
        <f>VLOOKUP(A51,'Source Data'!$A$2:$Q$137,17,FALSE)</f>
        <v>5876</v>
      </c>
      <c r="D51" s="9">
        <f t="shared" si="0"/>
        <v>14783798.60999997</v>
      </c>
      <c r="E51" s="9">
        <f t="shared" si="1"/>
        <v>2515.9630037440384</v>
      </c>
      <c r="F51" s="9">
        <f>VLOOKUP(A51,'Source Data'!$A$2:$Q$137,7,FALSE)</f>
        <v>28007134.33</v>
      </c>
      <c r="G51" s="9">
        <f t="shared" si="2"/>
        <v>4766.360505445881</v>
      </c>
      <c r="H51" s="9">
        <f>VLOOKUP(A51,'Source Data'!$A$2:$Q$137,8,FALSE)</f>
        <v>5025502.28</v>
      </c>
      <c r="I51" s="9">
        <f t="shared" si="3"/>
        <v>855.2590673927842</v>
      </c>
      <c r="J51" s="9">
        <f>VLOOKUP(A51,'Source Data'!$A$2:$Q$137,13,FALSE)</f>
        <v>5622755.54</v>
      </c>
      <c r="K51" s="9">
        <f t="shared" si="4"/>
        <v>956.9018958475153</v>
      </c>
      <c r="L51" s="9">
        <f>VLOOKUP(A51,'Source Data'!$A$2:$Q$137,16,FALSE)</f>
        <v>53439190.75999997</v>
      </c>
      <c r="M51" s="9">
        <f t="shared" si="5"/>
        <v>9094.484472430218</v>
      </c>
      <c r="N51" s="46"/>
      <c r="O51" s="47"/>
      <c r="P51" s="47"/>
      <c r="Q51" s="47"/>
      <c r="R51" s="47"/>
      <c r="S51" s="47"/>
      <c r="T51" s="46"/>
      <c r="U51" s="46"/>
      <c r="V51" s="46"/>
      <c r="W51" s="46"/>
      <c r="X51" s="46"/>
      <c r="Y51" s="46"/>
      <c r="Z51" s="46"/>
      <c r="AA51" s="46"/>
      <c r="AB51" s="46"/>
      <c r="AC51" s="46"/>
      <c r="AD51" s="46"/>
      <c r="AE51" s="46"/>
    </row>
    <row r="52" spans="1:31" ht="12.75">
      <c r="A52" s="22">
        <v>42</v>
      </c>
      <c r="B52" s="8" t="s">
        <v>194</v>
      </c>
      <c r="C52" s="130">
        <f>VLOOKUP(A52,'Source Data'!$A$2:$Q$137,17,FALSE)</f>
        <v>18211.16</v>
      </c>
      <c r="D52" s="9">
        <f t="shared" si="0"/>
        <v>66205168.91000002</v>
      </c>
      <c r="E52" s="9">
        <f t="shared" si="1"/>
        <v>3635.4174533637624</v>
      </c>
      <c r="F52" s="9">
        <f>VLOOKUP(A52,'Source Data'!$A$2:$Q$137,7,FALSE)</f>
        <v>51212567.56000001</v>
      </c>
      <c r="G52" s="9">
        <f t="shared" si="2"/>
        <v>2812.15296334775</v>
      </c>
      <c r="H52" s="9">
        <f>VLOOKUP(A52,'Source Data'!$A$2:$Q$137,8,FALSE)</f>
        <v>13922801.52</v>
      </c>
      <c r="I52" s="9">
        <f t="shared" si="3"/>
        <v>764.520300738668</v>
      </c>
      <c r="J52" s="9">
        <f>VLOOKUP(A52,'Source Data'!$A$2:$Q$137,13,FALSE)</f>
        <v>5162621.05</v>
      </c>
      <c r="K52" s="9">
        <f t="shared" si="4"/>
        <v>283.4866669668489</v>
      </c>
      <c r="L52" s="9">
        <f>VLOOKUP(A52,'Source Data'!$A$2:$Q$137,16,FALSE)</f>
        <v>136503159.04000002</v>
      </c>
      <c r="M52" s="9">
        <f t="shared" si="5"/>
        <v>7495.577384417029</v>
      </c>
      <c r="N52" s="46"/>
      <c r="O52" s="47"/>
      <c r="P52" s="47"/>
      <c r="Q52" s="47"/>
      <c r="R52" s="47"/>
      <c r="S52" s="47"/>
      <c r="T52" s="46"/>
      <c r="U52" s="46"/>
      <c r="V52" s="46"/>
      <c r="W52" s="46"/>
      <c r="X52" s="46"/>
      <c r="Y52" s="46"/>
      <c r="Z52" s="46"/>
      <c r="AA52" s="46"/>
      <c r="AB52" s="46"/>
      <c r="AC52" s="46"/>
      <c r="AD52" s="46"/>
      <c r="AE52" s="46"/>
    </row>
    <row r="53" spans="1:31" ht="12.75">
      <c r="A53" s="22">
        <v>43</v>
      </c>
      <c r="B53" s="8" t="s">
        <v>195</v>
      </c>
      <c r="C53" s="130">
        <f>VLOOKUP(A53,'Source Data'!$A$2:$Q$137,17,FALSE)</f>
        <v>45961.47</v>
      </c>
      <c r="D53" s="9">
        <f t="shared" si="0"/>
        <v>172131384.3</v>
      </c>
      <c r="E53" s="9">
        <f t="shared" si="1"/>
        <v>3745.123563280287</v>
      </c>
      <c r="F53" s="9">
        <f>VLOOKUP(A53,'Source Data'!$A$2:$Q$137,7,FALSE)</f>
        <v>122916065.64</v>
      </c>
      <c r="G53" s="9">
        <f t="shared" si="2"/>
        <v>2674.3284242214186</v>
      </c>
      <c r="H53" s="9">
        <f>VLOOKUP(A53,'Source Data'!$A$2:$Q$137,8,FALSE)</f>
        <v>36993242.43</v>
      </c>
      <c r="I53" s="9">
        <f t="shared" si="3"/>
        <v>804.8750927679206</v>
      </c>
      <c r="J53" s="9">
        <f>VLOOKUP(A53,'Source Data'!$A$2:$Q$137,13,FALSE)</f>
        <v>18958678.63</v>
      </c>
      <c r="K53" s="9">
        <f t="shared" si="4"/>
        <v>412.49069340036334</v>
      </c>
      <c r="L53" s="9">
        <f>VLOOKUP(A53,'Source Data'!$A$2:$Q$137,16,FALSE)</f>
        <v>350999371</v>
      </c>
      <c r="M53" s="9">
        <f t="shared" si="5"/>
        <v>7636.817773669989</v>
      </c>
      <c r="N53" s="46"/>
      <c r="O53" s="47"/>
      <c r="P53" s="47"/>
      <c r="Q53" s="47"/>
      <c r="R53" s="47"/>
      <c r="S53" s="47"/>
      <c r="T53" s="46"/>
      <c r="U53" s="46"/>
      <c r="V53" s="46"/>
      <c r="W53" s="46"/>
      <c r="X53" s="46"/>
      <c r="Y53" s="46"/>
      <c r="Z53" s="46"/>
      <c r="AA53" s="46"/>
      <c r="AB53" s="46"/>
      <c r="AC53" s="46"/>
      <c r="AD53" s="46"/>
      <c r="AE53" s="46"/>
    </row>
    <row r="54" spans="1:31" ht="12.75">
      <c r="A54" s="22">
        <v>44</v>
      </c>
      <c r="B54" s="8" t="s">
        <v>196</v>
      </c>
      <c r="C54" s="130">
        <f>VLOOKUP(A54,'Source Data'!$A$2:$Q$137,17,FALSE)</f>
        <v>7737.51</v>
      </c>
      <c r="D54" s="9">
        <f t="shared" si="0"/>
        <v>14054695.41000007</v>
      </c>
      <c r="E54" s="9">
        <f t="shared" si="1"/>
        <v>1816.4364776265325</v>
      </c>
      <c r="F54" s="9">
        <f>VLOOKUP(A54,'Source Data'!$A$2:$Q$137,7,FALSE)</f>
        <v>33374474.89999999</v>
      </c>
      <c r="G54" s="9">
        <f t="shared" si="2"/>
        <v>4313.335284865543</v>
      </c>
      <c r="H54" s="9">
        <f>VLOOKUP(A54,'Source Data'!$A$2:$Q$137,8,FALSE)</f>
        <v>7524607.319999999</v>
      </c>
      <c r="I54" s="9">
        <f t="shared" si="3"/>
        <v>972.4843418619167</v>
      </c>
      <c r="J54" s="9">
        <f>VLOOKUP(A54,'Source Data'!$A$2:$Q$137,13,FALSE)</f>
        <v>6323119.339999998</v>
      </c>
      <c r="K54" s="9">
        <f t="shared" si="4"/>
        <v>817.2033819665497</v>
      </c>
      <c r="L54" s="9">
        <f>VLOOKUP(A54,'Source Data'!$A$2:$Q$137,16,FALSE)</f>
        <v>61276896.97000006</v>
      </c>
      <c r="M54" s="9">
        <f t="shared" si="5"/>
        <v>7919.459486320542</v>
      </c>
      <c r="N54" s="46"/>
      <c r="O54" s="47"/>
      <c r="P54" s="47"/>
      <c r="Q54" s="47"/>
      <c r="R54" s="47"/>
      <c r="S54" s="47"/>
      <c r="T54" s="46"/>
      <c r="U54" s="46"/>
      <c r="V54" s="46"/>
      <c r="W54" s="46"/>
      <c r="X54" s="46"/>
      <c r="Y54" s="46"/>
      <c r="Z54" s="46"/>
      <c r="AA54" s="46"/>
      <c r="AB54" s="46"/>
      <c r="AC54" s="46"/>
      <c r="AD54" s="46"/>
      <c r="AE54" s="46"/>
    </row>
    <row r="55" spans="1:31" ht="12.75">
      <c r="A55" s="22">
        <v>45</v>
      </c>
      <c r="B55" s="8" t="s">
        <v>197</v>
      </c>
      <c r="C55" s="130">
        <f>VLOOKUP(A55,'Source Data'!$A$2:$Q$137,17,FALSE)</f>
        <v>302.56</v>
      </c>
      <c r="D55" s="9">
        <f t="shared" si="0"/>
        <v>1674466.04</v>
      </c>
      <c r="E55" s="9">
        <f t="shared" si="1"/>
        <v>5534.327207826547</v>
      </c>
      <c r="F55" s="9">
        <f>VLOOKUP(A55,'Source Data'!$A$2:$Q$137,7,FALSE)</f>
        <v>1118079.35</v>
      </c>
      <c r="G55" s="9">
        <f t="shared" si="2"/>
        <v>3695.397111316764</v>
      </c>
      <c r="H55" s="9">
        <f>VLOOKUP(A55,'Source Data'!$A$2:$Q$137,8,FALSE)</f>
        <v>271030.5</v>
      </c>
      <c r="I55" s="9">
        <f t="shared" si="3"/>
        <v>895.7909175039662</v>
      </c>
      <c r="J55" s="9">
        <f>VLOOKUP(A55,'Source Data'!$A$2:$Q$137,13,FALSE)</f>
        <v>289092.1</v>
      </c>
      <c r="K55" s="9">
        <f t="shared" si="4"/>
        <v>955.4868455843468</v>
      </c>
      <c r="L55" s="9">
        <f>VLOOKUP(A55,'Source Data'!$A$2:$Q$137,16,FALSE)</f>
        <v>3352667.99</v>
      </c>
      <c r="M55" s="9">
        <f t="shared" si="5"/>
        <v>11081.002082231624</v>
      </c>
      <c r="N55" s="46"/>
      <c r="O55" s="47"/>
      <c r="P55" s="47"/>
      <c r="Q55" s="47"/>
      <c r="R55" s="47"/>
      <c r="S55" s="47"/>
      <c r="T55" s="46"/>
      <c r="U55" s="46"/>
      <c r="V55" s="46"/>
      <c r="W55" s="46"/>
      <c r="X55" s="46"/>
      <c r="Y55" s="46"/>
      <c r="Z55" s="46"/>
      <c r="AA55" s="46"/>
      <c r="AB55" s="46"/>
      <c r="AC55" s="46"/>
      <c r="AD55" s="46"/>
      <c r="AE55" s="46"/>
    </row>
    <row r="56" spans="1:31" ht="12.75">
      <c r="A56" s="22">
        <v>46</v>
      </c>
      <c r="B56" s="8" t="s">
        <v>198</v>
      </c>
      <c r="C56" s="130">
        <f>VLOOKUP(A56,'Source Data'!$A$2:$Q$137,17,FALSE)</f>
        <v>5044</v>
      </c>
      <c r="D56" s="9">
        <f t="shared" si="0"/>
        <v>15987399.79</v>
      </c>
      <c r="E56" s="9">
        <f t="shared" si="1"/>
        <v>3169.587587232355</v>
      </c>
      <c r="F56" s="9">
        <f>VLOOKUP(A56,'Source Data'!$A$2:$Q$137,7,FALSE)</f>
        <v>17238698.26</v>
      </c>
      <c r="G56" s="9">
        <f t="shared" si="2"/>
        <v>3417.664206978589</v>
      </c>
      <c r="H56" s="9">
        <f>VLOOKUP(A56,'Source Data'!$A$2:$Q$137,8,FALSE)</f>
        <v>4626234.84</v>
      </c>
      <c r="I56" s="9">
        <f t="shared" si="3"/>
        <v>917.175820777161</v>
      </c>
      <c r="J56" s="9">
        <f>VLOOKUP(A56,'Source Data'!$A$2:$Q$137,13,FALSE)</f>
        <v>2851545.11</v>
      </c>
      <c r="K56" s="9">
        <f t="shared" si="4"/>
        <v>565.3340820777161</v>
      </c>
      <c r="L56" s="9">
        <f>VLOOKUP(A56,'Source Data'!$A$2:$Q$137,16,FALSE)</f>
        <v>40703878</v>
      </c>
      <c r="M56" s="9">
        <f t="shared" si="5"/>
        <v>8069.761697065821</v>
      </c>
      <c r="N56" s="46"/>
      <c r="O56" s="47"/>
      <c r="P56" s="47"/>
      <c r="Q56" s="47"/>
      <c r="R56" s="47"/>
      <c r="S56" s="47"/>
      <c r="T56" s="46"/>
      <c r="U56" s="46"/>
      <c r="V56" s="46"/>
      <c r="W56" s="46"/>
      <c r="X56" s="46"/>
      <c r="Y56" s="46"/>
      <c r="Z56" s="46"/>
      <c r="AA56" s="46"/>
      <c r="AB56" s="46"/>
      <c r="AC56" s="46"/>
      <c r="AD56" s="46"/>
      <c r="AE56" s="46"/>
    </row>
    <row r="57" spans="1:31" ht="13.5">
      <c r="A57" s="22">
        <v>47</v>
      </c>
      <c r="B57" s="8" t="s">
        <v>633</v>
      </c>
      <c r="C57" s="130">
        <f>VLOOKUP(A57,'Source Data'!$A$2:$Q$137,17,FALSE)</f>
        <v>8689.78</v>
      </c>
      <c r="D57" s="9">
        <f t="shared" si="0"/>
        <v>50721849.76</v>
      </c>
      <c r="E57" s="9">
        <f t="shared" si="1"/>
        <v>5836.954417718284</v>
      </c>
      <c r="F57" s="9">
        <f>VLOOKUP(A57,'Source Data'!$A$2:$Q$137,7,FALSE)</f>
        <v>19079563.18</v>
      </c>
      <c r="G57" s="9">
        <f t="shared" si="2"/>
        <v>2195.632476311253</v>
      </c>
      <c r="H57" s="9">
        <f>VLOOKUP(A57,'Source Data'!$A$2:$Q$137,8,FALSE)</f>
        <v>7087920.720000001</v>
      </c>
      <c r="I57" s="9">
        <f t="shared" si="3"/>
        <v>815.661699145433</v>
      </c>
      <c r="J57" s="9">
        <f>VLOOKUP(A57,'Source Data'!$A$2:$Q$137,13,FALSE)</f>
        <v>10394</v>
      </c>
      <c r="K57" s="9">
        <f t="shared" si="4"/>
        <v>1.1961177383086798</v>
      </c>
      <c r="L57" s="9">
        <f>VLOOKUP(A57,'Source Data'!$A$2:$Q$137,16,FALSE)</f>
        <v>76899727.66</v>
      </c>
      <c r="M57" s="9">
        <f t="shared" si="5"/>
        <v>8849.444710913278</v>
      </c>
      <c r="N57" s="46"/>
      <c r="O57" s="47"/>
      <c r="P57" s="47"/>
      <c r="Q57" s="47"/>
      <c r="R57" s="47"/>
      <c r="S57" s="47"/>
      <c r="T57" s="46"/>
      <c r="U57" s="46"/>
      <c r="V57" s="46"/>
      <c r="W57" s="46"/>
      <c r="X57" s="46"/>
      <c r="Y57" s="46"/>
      <c r="Z57" s="46"/>
      <c r="AA57" s="46"/>
      <c r="AB57" s="46"/>
      <c r="AC57" s="46"/>
      <c r="AD57" s="46"/>
      <c r="AE57" s="46"/>
    </row>
    <row r="58" spans="1:31" ht="12.75">
      <c r="A58" s="22">
        <v>48</v>
      </c>
      <c r="B58" s="8" t="s">
        <v>200</v>
      </c>
      <c r="C58" s="130">
        <f>VLOOKUP(A58,'Source Data'!$A$2:$Q$137,17,FALSE)</f>
        <v>3364.61</v>
      </c>
      <c r="D58" s="9">
        <f t="shared" si="0"/>
        <v>9105975.489999969</v>
      </c>
      <c r="E58" s="9">
        <f t="shared" si="1"/>
        <v>2706.3985097826994</v>
      </c>
      <c r="F58" s="9">
        <f>VLOOKUP(A58,'Source Data'!$A$2:$Q$137,7,FALSE)</f>
        <v>11415601.810000002</v>
      </c>
      <c r="G58" s="9">
        <f t="shared" si="2"/>
        <v>3392.8454739182257</v>
      </c>
      <c r="H58" s="9">
        <f>VLOOKUP(A58,'Source Data'!$A$2:$Q$137,8,FALSE)</f>
        <v>2426797.73</v>
      </c>
      <c r="I58" s="9">
        <f t="shared" si="3"/>
        <v>721.2716273208484</v>
      </c>
      <c r="J58" s="9">
        <f>VLOOKUP(A58,'Source Data'!$A$2:$Q$137,13,FALSE)</f>
        <v>884922.53</v>
      </c>
      <c r="K58" s="9">
        <f t="shared" si="4"/>
        <v>263.0089460591272</v>
      </c>
      <c r="L58" s="9">
        <f>VLOOKUP(A58,'Source Data'!$A$2:$Q$137,16,FALSE)</f>
        <v>23833297.559999973</v>
      </c>
      <c r="M58" s="9">
        <f t="shared" si="5"/>
        <v>7083.524557080901</v>
      </c>
      <c r="N58" s="46"/>
      <c r="O58" s="47"/>
      <c r="P58" s="47"/>
      <c r="Q58" s="47"/>
      <c r="R58" s="47"/>
      <c r="S58" s="47"/>
      <c r="T58" s="46"/>
      <c r="U58" s="46"/>
      <c r="V58" s="46"/>
      <c r="W58" s="46"/>
      <c r="X58" s="46"/>
      <c r="Y58" s="46"/>
      <c r="Z58" s="46"/>
      <c r="AA58" s="46"/>
      <c r="AB58" s="46"/>
      <c r="AC58" s="46"/>
      <c r="AD58" s="46"/>
      <c r="AE58" s="46"/>
    </row>
    <row r="59" spans="1:31" ht="12.75">
      <c r="A59" s="22">
        <v>49</v>
      </c>
      <c r="B59" s="8" t="s">
        <v>199</v>
      </c>
      <c r="C59" s="130">
        <f>VLOOKUP(A59,'Source Data'!$A$2:$Q$137,17,FALSE)</f>
        <v>820.93</v>
      </c>
      <c r="D59" s="9">
        <f t="shared" si="0"/>
        <v>3380367.5600000024</v>
      </c>
      <c r="E59" s="9">
        <f t="shared" si="1"/>
        <v>4117.729355730698</v>
      </c>
      <c r="F59" s="9">
        <f>VLOOKUP(A59,'Source Data'!$A$2:$Q$137,7,FALSE)</f>
        <v>4074509.95</v>
      </c>
      <c r="G59" s="9">
        <f t="shared" si="2"/>
        <v>4963.285481100704</v>
      </c>
      <c r="H59" s="9">
        <f>VLOOKUP(A59,'Source Data'!$A$2:$Q$137,8,FALSE)</f>
        <v>771035.66</v>
      </c>
      <c r="I59" s="9">
        <f t="shared" si="3"/>
        <v>939.2221748504745</v>
      </c>
      <c r="J59" s="9">
        <f>VLOOKUP(A59,'Source Data'!$A$2:$Q$137,13,FALSE)</f>
        <v>855930.71</v>
      </c>
      <c r="K59" s="9">
        <f t="shared" si="4"/>
        <v>1042.6354378570645</v>
      </c>
      <c r="L59" s="9">
        <f>VLOOKUP(A59,'Source Data'!$A$2:$Q$137,16,FALSE)</f>
        <v>9081843.880000003</v>
      </c>
      <c r="M59" s="9">
        <f t="shared" si="5"/>
        <v>11062.872449538942</v>
      </c>
      <c r="N59" s="46"/>
      <c r="O59" s="47"/>
      <c r="P59" s="47"/>
      <c r="Q59" s="47"/>
      <c r="R59" s="47"/>
      <c r="S59" s="47"/>
      <c r="T59" s="46"/>
      <c r="U59" s="46"/>
      <c r="V59" s="46"/>
      <c r="W59" s="46"/>
      <c r="X59" s="46"/>
      <c r="Y59" s="46"/>
      <c r="Z59" s="46"/>
      <c r="AA59" s="46"/>
      <c r="AB59" s="46"/>
      <c r="AC59" s="46"/>
      <c r="AD59" s="46"/>
      <c r="AE59" s="46"/>
    </row>
    <row r="60" spans="1:31" ht="12.75">
      <c r="A60" s="22">
        <v>50</v>
      </c>
      <c r="B60" s="8" t="s">
        <v>201</v>
      </c>
      <c r="C60" s="130">
        <f>VLOOKUP(A60,'Source Data'!$A$2:$Q$137,17,FALSE)</f>
        <v>1913.41</v>
      </c>
      <c r="D60" s="9">
        <f t="shared" si="0"/>
        <v>5609560.170000002</v>
      </c>
      <c r="E60" s="9">
        <f t="shared" si="1"/>
        <v>2931.708400186056</v>
      </c>
      <c r="F60" s="9">
        <f>VLOOKUP(A60,'Source Data'!$A$2:$Q$137,7,FALSE)</f>
        <v>7473686.9399999995</v>
      </c>
      <c r="G60" s="9">
        <f t="shared" si="2"/>
        <v>3905.9516465368106</v>
      </c>
      <c r="H60" s="9">
        <f>VLOOKUP(A60,'Source Data'!$A$2:$Q$137,8,FALSE)</f>
        <v>1506957.3</v>
      </c>
      <c r="I60" s="9">
        <f t="shared" si="3"/>
        <v>787.5767869928557</v>
      </c>
      <c r="J60" s="9">
        <f>VLOOKUP(A60,'Source Data'!$A$2:$Q$137,13,FALSE)</f>
        <v>988637.25</v>
      </c>
      <c r="K60" s="9">
        <f t="shared" si="4"/>
        <v>516.6886605588975</v>
      </c>
      <c r="L60" s="9">
        <f>VLOOKUP(A60,'Source Data'!$A$2:$Q$137,16,FALSE)</f>
        <v>15578841.660000002</v>
      </c>
      <c r="M60" s="9">
        <f t="shared" si="5"/>
        <v>8141.92549427462</v>
      </c>
      <c r="N60" s="46"/>
      <c r="O60" s="47"/>
      <c r="P60" s="47"/>
      <c r="Q60" s="47"/>
      <c r="R60" s="47"/>
      <c r="S60" s="47"/>
      <c r="T60" s="46"/>
      <c r="U60" s="46"/>
      <c r="V60" s="46"/>
      <c r="W60" s="46"/>
      <c r="X60" s="46"/>
      <c r="Y60" s="46"/>
      <c r="Z60" s="46"/>
      <c r="AA60" s="46"/>
      <c r="AB60" s="46"/>
      <c r="AC60" s="46"/>
      <c r="AD60" s="46"/>
      <c r="AE60" s="46"/>
    </row>
    <row r="61" spans="1:31" ht="12.75">
      <c r="A61" s="22">
        <v>51</v>
      </c>
      <c r="B61" s="8" t="s">
        <v>202</v>
      </c>
      <c r="C61" s="130">
        <f>VLOOKUP(A61,'Source Data'!$A$2:$Q$137,17,FALSE)</f>
        <v>1400.32</v>
      </c>
      <c r="D61" s="9">
        <f t="shared" si="0"/>
        <v>7920424.440000001</v>
      </c>
      <c r="E61" s="9">
        <f t="shared" si="1"/>
        <v>5656.15319355576</v>
      </c>
      <c r="F61" s="9">
        <f>VLOOKUP(A61,'Source Data'!$A$2:$Q$137,7,FALSE)</f>
        <v>2427512.44</v>
      </c>
      <c r="G61" s="9">
        <f t="shared" si="2"/>
        <v>1733.5412191499086</v>
      </c>
      <c r="H61" s="9">
        <f>VLOOKUP(A61,'Source Data'!$A$2:$Q$137,8,FALSE)</f>
        <v>1207506.92</v>
      </c>
      <c r="I61" s="9">
        <f t="shared" si="3"/>
        <v>862.3078439213893</v>
      </c>
      <c r="J61" s="9">
        <f>VLOOKUP(A61,'Source Data'!$A$2:$Q$137,13,FALSE)</f>
        <v>1230458.05</v>
      </c>
      <c r="K61" s="9">
        <f t="shared" si="4"/>
        <v>878.6977619401281</v>
      </c>
      <c r="L61" s="9">
        <f>VLOOKUP(A61,'Source Data'!$A$2:$Q$137,16,FALSE)</f>
        <v>12785901.850000001</v>
      </c>
      <c r="M61" s="9">
        <f t="shared" si="5"/>
        <v>9130.700018567186</v>
      </c>
      <c r="N61" s="46"/>
      <c r="O61" s="47"/>
      <c r="P61" s="47"/>
      <c r="Q61" s="47"/>
      <c r="R61" s="47"/>
      <c r="S61" s="47"/>
      <c r="T61" s="46"/>
      <c r="U61" s="46"/>
      <c r="V61" s="46"/>
      <c r="W61" s="46"/>
      <c r="X61" s="46"/>
      <c r="Y61" s="46"/>
      <c r="Z61" s="46"/>
      <c r="AA61" s="46"/>
      <c r="AB61" s="46"/>
      <c r="AC61" s="46"/>
      <c r="AD61" s="46"/>
      <c r="AE61" s="46"/>
    </row>
    <row r="62" spans="1:31" ht="12.75">
      <c r="A62" s="22">
        <v>52</v>
      </c>
      <c r="B62" s="8" t="s">
        <v>203</v>
      </c>
      <c r="C62" s="130">
        <f>VLOOKUP(A62,'Source Data'!$A$2:$Q$137,17,FALSE)</f>
        <v>3632.04</v>
      </c>
      <c r="D62" s="9">
        <f t="shared" si="0"/>
        <v>4884540.839999992</v>
      </c>
      <c r="E62" s="9">
        <f t="shared" si="1"/>
        <v>1344.8477549806698</v>
      </c>
      <c r="F62" s="9">
        <f>VLOOKUP(A62,'Source Data'!$A$2:$Q$137,7,FALSE)</f>
        <v>19568796.48</v>
      </c>
      <c r="G62" s="9">
        <f t="shared" si="2"/>
        <v>5387.825156110615</v>
      </c>
      <c r="H62" s="9">
        <f>VLOOKUP(A62,'Source Data'!$A$2:$Q$137,8,FALSE)</f>
        <v>3220480.48</v>
      </c>
      <c r="I62" s="9">
        <f t="shared" si="3"/>
        <v>886.6864021321351</v>
      </c>
      <c r="J62" s="9">
        <f>VLOOKUP(A62,'Source Data'!$A$2:$Q$137,13,FALSE)</f>
        <v>5436018.02</v>
      </c>
      <c r="K62" s="9">
        <f t="shared" si="4"/>
        <v>1496.6845133864163</v>
      </c>
      <c r="L62" s="9">
        <f>VLOOKUP(A62,'Source Data'!$A$2:$Q$137,16,FALSE)</f>
        <v>33109835.819999993</v>
      </c>
      <c r="M62" s="9">
        <f t="shared" si="5"/>
        <v>9116.043826609837</v>
      </c>
      <c r="N62" s="46"/>
      <c r="O62" s="47"/>
      <c r="P62" s="47"/>
      <c r="Q62" s="47"/>
      <c r="R62" s="47"/>
      <c r="S62" s="47"/>
      <c r="T62" s="46"/>
      <c r="U62" s="46"/>
      <c r="V62" s="46"/>
      <c r="W62" s="46"/>
      <c r="X62" s="46"/>
      <c r="Y62" s="46"/>
      <c r="Z62" s="46"/>
      <c r="AA62" s="46"/>
      <c r="AB62" s="46"/>
      <c r="AC62" s="46"/>
      <c r="AD62" s="46"/>
      <c r="AE62" s="46"/>
    </row>
    <row r="63" spans="1:31" ht="12.75">
      <c r="A63" s="22">
        <v>53</v>
      </c>
      <c r="B63" s="8" t="s">
        <v>204</v>
      </c>
      <c r="C63" s="130">
        <f>VLOOKUP(A63,'Source Data'!$A$2:$Q$137,17,FALSE)</f>
        <v>43630.77</v>
      </c>
      <c r="D63" s="9">
        <f t="shared" si="0"/>
        <v>378030534.1899996</v>
      </c>
      <c r="E63" s="9">
        <f t="shared" si="1"/>
        <v>8664.31039814332</v>
      </c>
      <c r="F63" s="9">
        <f>VLOOKUP(A63,'Source Data'!$A$2:$Q$137,7,FALSE)</f>
        <v>71094745.13</v>
      </c>
      <c r="G63" s="9">
        <f t="shared" si="2"/>
        <v>1629.4634527421817</v>
      </c>
      <c r="H63" s="9">
        <f>VLOOKUP(A63,'Source Data'!$A$2:$Q$137,8,FALSE)</f>
        <v>31819401.07</v>
      </c>
      <c r="I63" s="9">
        <f t="shared" si="3"/>
        <v>729.2880934716486</v>
      </c>
      <c r="J63" s="9">
        <f>VLOOKUP(A63,'Source Data'!$A$2:$Q$137,13,FALSE)</f>
        <v>9738715.289999997</v>
      </c>
      <c r="K63" s="9">
        <f t="shared" si="4"/>
        <v>223.20750447447978</v>
      </c>
      <c r="L63" s="9">
        <f>VLOOKUP(A63,'Source Data'!$A$2:$Q$137,16,FALSE)</f>
        <v>490683395.6799996</v>
      </c>
      <c r="M63" s="9">
        <f t="shared" si="5"/>
        <v>11246.26944883163</v>
      </c>
      <c r="N63" s="46"/>
      <c r="O63" s="47"/>
      <c r="P63" s="47"/>
      <c r="Q63" s="47"/>
      <c r="R63" s="47"/>
      <c r="S63" s="47"/>
      <c r="T63" s="46"/>
      <c r="U63" s="46"/>
      <c r="V63" s="46"/>
      <c r="W63" s="46"/>
      <c r="X63" s="46"/>
      <c r="Y63" s="46"/>
      <c r="Z63" s="46"/>
      <c r="AA63" s="46"/>
      <c r="AB63" s="46"/>
      <c r="AC63" s="46"/>
      <c r="AD63" s="46"/>
      <c r="AE63" s="46"/>
    </row>
    <row r="64" spans="1:31" ht="12.75">
      <c r="A64" s="22">
        <v>54</v>
      </c>
      <c r="B64" s="8" t="s">
        <v>205</v>
      </c>
      <c r="C64" s="130">
        <f>VLOOKUP(A64,'Source Data'!$A$2:$Q$137,17,FALSE)</f>
        <v>4294.47</v>
      </c>
      <c r="D64" s="9">
        <f t="shared" si="0"/>
        <v>19428351.82000002</v>
      </c>
      <c r="E64" s="9">
        <f t="shared" si="1"/>
        <v>4524.039478678397</v>
      </c>
      <c r="F64" s="9">
        <f>VLOOKUP(A64,'Source Data'!$A$2:$Q$137,7,FALSE)</f>
        <v>10131620.030000001</v>
      </c>
      <c r="G64" s="9">
        <f t="shared" si="2"/>
        <v>2359.224777446344</v>
      </c>
      <c r="H64" s="9">
        <f>VLOOKUP(A64,'Source Data'!$A$2:$Q$137,8,FALSE)</f>
        <v>3868496.28</v>
      </c>
      <c r="I64" s="9">
        <f t="shared" si="3"/>
        <v>900.8087796631481</v>
      </c>
      <c r="J64" s="9">
        <f>VLOOKUP(A64,'Source Data'!$A$2:$Q$137,13,FALSE)</f>
        <v>2487138.81</v>
      </c>
      <c r="K64" s="9">
        <f t="shared" si="4"/>
        <v>579.1491872105289</v>
      </c>
      <c r="L64" s="9">
        <f>VLOOKUP(A64,'Source Data'!$A$2:$Q$137,16,FALSE)</f>
        <v>35915606.94000002</v>
      </c>
      <c r="M64" s="9">
        <f t="shared" si="5"/>
        <v>8363.222222998418</v>
      </c>
      <c r="N64" s="46"/>
      <c r="O64" s="47"/>
      <c r="P64" s="47"/>
      <c r="Q64" s="47"/>
      <c r="R64" s="47"/>
      <c r="S64" s="47"/>
      <c r="T64" s="46"/>
      <c r="U64" s="46"/>
      <c r="V64" s="46"/>
      <c r="W64" s="46"/>
      <c r="X64" s="46"/>
      <c r="Y64" s="46"/>
      <c r="Z64" s="46"/>
      <c r="AA64" s="46"/>
      <c r="AB64" s="46"/>
      <c r="AC64" s="46"/>
      <c r="AD64" s="46"/>
      <c r="AE64" s="46"/>
    </row>
    <row r="65" spans="1:31" ht="12.75">
      <c r="A65" s="22">
        <v>55</v>
      </c>
      <c r="B65" s="8" t="s">
        <v>206</v>
      </c>
      <c r="C65" s="130">
        <f>VLOOKUP(A65,'Source Data'!$A$2:$Q$137,17,FALSE)</f>
        <v>1709.35</v>
      </c>
      <c r="D65" s="9">
        <f t="shared" si="0"/>
        <v>3801500.040000001</v>
      </c>
      <c r="E65" s="9">
        <f t="shared" si="1"/>
        <v>2223.944797730132</v>
      </c>
      <c r="F65" s="9">
        <f>VLOOKUP(A65,'Source Data'!$A$2:$Q$137,7,FALSE)</f>
        <v>8102593.1499999985</v>
      </c>
      <c r="G65" s="9">
        <f t="shared" si="2"/>
        <v>4740.1603826015735</v>
      </c>
      <c r="H65" s="9">
        <f>VLOOKUP(A65,'Source Data'!$A$2:$Q$137,8,FALSE)</f>
        <v>1597763.14</v>
      </c>
      <c r="I65" s="9">
        <f t="shared" si="3"/>
        <v>934.7197121712932</v>
      </c>
      <c r="J65" s="9">
        <f>VLOOKUP(A65,'Source Data'!$A$2:$Q$137,13,FALSE)</f>
        <v>1588521.59</v>
      </c>
      <c r="K65" s="9">
        <f t="shared" si="4"/>
        <v>929.3132418755669</v>
      </c>
      <c r="L65" s="9">
        <f>VLOOKUP(A65,'Source Data'!$A$2:$Q$137,16,FALSE)</f>
        <v>15090377.92</v>
      </c>
      <c r="M65" s="9">
        <f t="shared" si="5"/>
        <v>8828.138134378565</v>
      </c>
      <c r="N65" s="46"/>
      <c r="O65" s="47"/>
      <c r="P65" s="47"/>
      <c r="Q65" s="47"/>
      <c r="R65" s="47"/>
      <c r="S65" s="47"/>
      <c r="T65" s="46"/>
      <c r="U65" s="46"/>
      <c r="V65" s="46"/>
      <c r="W65" s="46"/>
      <c r="X65" s="46"/>
      <c r="Y65" s="46"/>
      <c r="Z65" s="46"/>
      <c r="AA65" s="46"/>
      <c r="AB65" s="46"/>
      <c r="AC65" s="46"/>
      <c r="AD65" s="46"/>
      <c r="AE65" s="46"/>
    </row>
    <row r="66" spans="1:31" ht="12.75">
      <c r="A66" s="22">
        <v>56</v>
      </c>
      <c r="B66" s="8" t="s">
        <v>207</v>
      </c>
      <c r="C66" s="130">
        <f>VLOOKUP(A66,'Source Data'!$A$2:$Q$137,17,FALSE)</f>
        <v>1829.22</v>
      </c>
      <c r="D66" s="9">
        <f t="shared" si="0"/>
        <v>6313128.949999999</v>
      </c>
      <c r="E66" s="9">
        <f t="shared" si="1"/>
        <v>3451.268272815735</v>
      </c>
      <c r="F66" s="9">
        <f>VLOOKUP(A66,'Source Data'!$A$2:$Q$137,7,FALSE)</f>
        <v>6292376.1499999985</v>
      </c>
      <c r="G66" s="9">
        <f t="shared" si="2"/>
        <v>3439.923109303418</v>
      </c>
      <c r="H66" s="9">
        <f>VLOOKUP(A66,'Source Data'!$A$2:$Q$137,8,FALSE)</f>
        <v>1673319</v>
      </c>
      <c r="I66" s="9">
        <f t="shared" si="3"/>
        <v>914.7718699773674</v>
      </c>
      <c r="J66" s="9">
        <f>VLOOKUP(A66,'Source Data'!$A$2:$Q$137,13,FALSE)</f>
        <v>921772.02</v>
      </c>
      <c r="K66" s="9">
        <f t="shared" si="4"/>
        <v>503.91534096500146</v>
      </c>
      <c r="L66" s="9">
        <f>VLOOKUP(A66,'Source Data'!$A$2:$Q$137,16,FALSE)</f>
        <v>15200596.119999997</v>
      </c>
      <c r="M66" s="9">
        <f t="shared" si="5"/>
        <v>8309.878593061521</v>
      </c>
      <c r="N66" s="46"/>
      <c r="O66" s="47"/>
      <c r="P66" s="47"/>
      <c r="Q66" s="47"/>
      <c r="R66" s="47"/>
      <c r="S66" s="47"/>
      <c r="T66" s="46"/>
      <c r="U66" s="46"/>
      <c r="V66" s="46"/>
      <c r="W66" s="46"/>
      <c r="X66" s="46"/>
      <c r="Y66" s="46"/>
      <c r="Z66" s="46"/>
      <c r="AA66" s="46"/>
      <c r="AB66" s="46"/>
      <c r="AC66" s="46"/>
      <c r="AD66" s="46"/>
      <c r="AE66" s="46"/>
    </row>
    <row r="67" spans="1:31" ht="12.75">
      <c r="A67" s="22">
        <v>57</v>
      </c>
      <c r="B67" s="8" t="s">
        <v>208</v>
      </c>
      <c r="C67" s="130">
        <f>VLOOKUP(A67,'Source Data'!$A$2:$Q$137,17,FALSE)</f>
        <v>1270.07</v>
      </c>
      <c r="D67" s="9">
        <f t="shared" si="0"/>
        <v>3970771.0099999905</v>
      </c>
      <c r="E67" s="9">
        <f t="shared" si="1"/>
        <v>3126.419024148268</v>
      </c>
      <c r="F67" s="9">
        <f>VLOOKUP(A67,'Source Data'!$A$2:$Q$137,7,FALSE)</f>
        <v>4388871.19</v>
      </c>
      <c r="G67" s="9">
        <f t="shared" si="2"/>
        <v>3455.613619721748</v>
      </c>
      <c r="H67" s="9">
        <f>VLOOKUP(A67,'Source Data'!$A$2:$Q$137,8,FALSE)</f>
        <v>1070258.7</v>
      </c>
      <c r="I67" s="9">
        <f t="shared" si="3"/>
        <v>842.6769390663507</v>
      </c>
      <c r="J67" s="9">
        <f>VLOOKUP(A67,'Source Data'!$A$2:$Q$137,13,FALSE)</f>
        <v>708782.8</v>
      </c>
      <c r="K67" s="9">
        <f t="shared" si="4"/>
        <v>558.0659333737511</v>
      </c>
      <c r="L67" s="9">
        <f>VLOOKUP(A67,'Source Data'!$A$2:$Q$137,16,FALSE)</f>
        <v>10138683.699999992</v>
      </c>
      <c r="M67" s="9">
        <f t="shared" si="5"/>
        <v>7982.775516310118</v>
      </c>
      <c r="N67" s="46"/>
      <c r="O67" s="47"/>
      <c r="P67" s="47"/>
      <c r="Q67" s="47"/>
      <c r="R67" s="47"/>
      <c r="S67" s="47"/>
      <c r="T67" s="46"/>
      <c r="U67" s="46"/>
      <c r="V67" s="46"/>
      <c r="W67" s="46"/>
      <c r="X67" s="46"/>
      <c r="Y67" s="46"/>
      <c r="Z67" s="46"/>
      <c r="AA67" s="46"/>
      <c r="AB67" s="46"/>
      <c r="AC67" s="46"/>
      <c r="AD67" s="46"/>
      <c r="AE67" s="46"/>
    </row>
    <row r="68" spans="1:31" ht="12.75">
      <c r="A68" s="22">
        <v>58</v>
      </c>
      <c r="B68" s="8" t="s">
        <v>209</v>
      </c>
      <c r="C68" s="130">
        <f>VLOOKUP(A68,'Source Data'!$A$2:$Q$137,17,FALSE)</f>
        <v>4796.78</v>
      </c>
      <c r="D68" s="9">
        <f t="shared" si="0"/>
        <v>9094026.109999988</v>
      </c>
      <c r="E68" s="9">
        <f t="shared" si="1"/>
        <v>1895.8605793886709</v>
      </c>
      <c r="F68" s="9">
        <f>VLOOKUP(A68,'Source Data'!$A$2:$Q$137,7,FALSE)</f>
        <v>20437901.64</v>
      </c>
      <c r="G68" s="9">
        <f t="shared" si="2"/>
        <v>4260.754431097528</v>
      </c>
      <c r="H68" s="9">
        <f>VLOOKUP(A68,'Source Data'!$A$2:$Q$137,8,FALSE)</f>
        <v>3787495.84</v>
      </c>
      <c r="I68" s="9">
        <f t="shared" si="3"/>
        <v>789.5913175088289</v>
      </c>
      <c r="J68" s="9">
        <f>VLOOKUP(A68,'Source Data'!$A$2:$Q$137,13,FALSE)</f>
        <v>4059635.26</v>
      </c>
      <c r="K68" s="9">
        <f t="shared" si="4"/>
        <v>846.325088913813</v>
      </c>
      <c r="L68" s="9">
        <f>VLOOKUP(A68,'Source Data'!$A$2:$Q$137,16,FALSE)</f>
        <v>37379058.84999999</v>
      </c>
      <c r="M68" s="9">
        <f t="shared" si="5"/>
        <v>7792.531416908841</v>
      </c>
      <c r="N68" s="46"/>
      <c r="O68" s="47"/>
      <c r="P68" s="47"/>
      <c r="Q68" s="47"/>
      <c r="R68" s="47"/>
      <c r="S68" s="47"/>
      <c r="T68" s="46"/>
      <c r="U68" s="46"/>
      <c r="V68" s="46"/>
      <c r="W68" s="46"/>
      <c r="X68" s="46"/>
      <c r="Y68" s="46"/>
      <c r="Z68" s="46"/>
      <c r="AA68" s="46"/>
      <c r="AB68" s="46"/>
      <c r="AC68" s="46"/>
      <c r="AD68" s="46"/>
      <c r="AE68" s="46"/>
    </row>
    <row r="69" spans="1:31" ht="12.75">
      <c r="A69" s="22">
        <v>59</v>
      </c>
      <c r="B69" s="8" t="s">
        <v>210</v>
      </c>
      <c r="C69" s="130">
        <f>VLOOKUP(A69,'Source Data'!$A$2:$Q$137,17,FALSE)</f>
        <v>1299.79</v>
      </c>
      <c r="D69" s="9">
        <f t="shared" si="0"/>
        <v>5075922.7200000025</v>
      </c>
      <c r="E69" s="9">
        <f t="shared" si="1"/>
        <v>3905.1867763254086</v>
      </c>
      <c r="F69" s="9">
        <f>VLOOKUP(A69,'Source Data'!$A$2:$Q$137,7,FALSE)</f>
        <v>3790747.59</v>
      </c>
      <c r="G69" s="9">
        <f t="shared" si="2"/>
        <v>2916.430800360058</v>
      </c>
      <c r="H69" s="9">
        <f>VLOOKUP(A69,'Source Data'!$A$2:$Q$137,8,FALSE)</f>
        <v>1156905.28</v>
      </c>
      <c r="I69" s="9">
        <f t="shared" si="3"/>
        <v>890.0709191484779</v>
      </c>
      <c r="J69" s="9">
        <f>VLOOKUP(A69,'Source Data'!$A$2:$Q$137,13,FALSE)</f>
        <v>986445.57</v>
      </c>
      <c r="K69" s="9">
        <f t="shared" si="4"/>
        <v>758.9268804960801</v>
      </c>
      <c r="L69" s="9">
        <f>VLOOKUP(A69,'Source Data'!$A$2:$Q$137,16,FALSE)</f>
        <v>11010021.160000002</v>
      </c>
      <c r="M69" s="9">
        <f t="shared" si="5"/>
        <v>8470.615376330024</v>
      </c>
      <c r="N69" s="46"/>
      <c r="O69" s="47"/>
      <c r="P69" s="47"/>
      <c r="Q69" s="47"/>
      <c r="R69" s="47"/>
      <c r="S69" s="47"/>
      <c r="T69" s="46"/>
      <c r="U69" s="46"/>
      <c r="V69" s="46"/>
      <c r="W69" s="46"/>
      <c r="X69" s="46"/>
      <c r="Y69" s="46"/>
      <c r="Z69" s="46"/>
      <c r="AA69" s="46"/>
      <c r="AB69" s="46"/>
      <c r="AC69" s="46"/>
      <c r="AD69" s="46"/>
      <c r="AE69" s="46"/>
    </row>
    <row r="70" spans="1:31" ht="12.75">
      <c r="A70" s="22">
        <v>60</v>
      </c>
      <c r="B70" s="8" t="s">
        <v>211</v>
      </c>
      <c r="C70" s="130">
        <f>VLOOKUP(A70,'Source Data'!$A$2:$Q$137,17,FALSE)</f>
        <v>9318.42</v>
      </c>
      <c r="D70" s="9">
        <f t="shared" si="0"/>
        <v>31840619.539999943</v>
      </c>
      <c r="E70" s="9">
        <f t="shared" si="1"/>
        <v>3416.9547562784187</v>
      </c>
      <c r="F70" s="9">
        <f>VLOOKUP(A70,'Source Data'!$A$2:$Q$137,7,FALSE)</f>
        <v>32068513.359999996</v>
      </c>
      <c r="G70" s="9">
        <f t="shared" si="2"/>
        <v>3441.4110289083337</v>
      </c>
      <c r="H70" s="9">
        <f>VLOOKUP(A70,'Source Data'!$A$2:$Q$137,8,FALSE)</f>
        <v>8648023.040000001</v>
      </c>
      <c r="I70" s="9">
        <f t="shared" si="3"/>
        <v>928.0567993286417</v>
      </c>
      <c r="J70" s="9">
        <f>VLOOKUP(A70,'Source Data'!$A$2:$Q$137,13,FALSE)</f>
        <v>5982793.41</v>
      </c>
      <c r="K70" s="9">
        <f t="shared" si="4"/>
        <v>642.0394669911852</v>
      </c>
      <c r="L70" s="9">
        <f>VLOOKUP(A70,'Source Data'!$A$2:$Q$137,16,FALSE)</f>
        <v>78539949.34999993</v>
      </c>
      <c r="M70" s="9">
        <f t="shared" si="5"/>
        <v>8428.462051506578</v>
      </c>
      <c r="N70" s="46"/>
      <c r="O70" s="47"/>
      <c r="P70" s="47"/>
      <c r="Q70" s="47"/>
      <c r="R70" s="47"/>
      <c r="S70" s="47"/>
      <c r="T70" s="46"/>
      <c r="U70" s="46"/>
      <c r="V70" s="46"/>
      <c r="W70" s="46"/>
      <c r="X70" s="46"/>
      <c r="Y70" s="46"/>
      <c r="Z70" s="46"/>
      <c r="AA70" s="46"/>
      <c r="AB70" s="46"/>
      <c r="AC70" s="46"/>
      <c r="AD70" s="46"/>
      <c r="AE70" s="46"/>
    </row>
    <row r="71" spans="1:31" ht="12.75">
      <c r="A71" s="22">
        <v>62</v>
      </c>
      <c r="B71" s="8" t="s">
        <v>212</v>
      </c>
      <c r="C71" s="130">
        <f>VLOOKUP(A71,'Source Data'!$A$2:$Q$137,17,FALSE)</f>
        <v>2003.48</v>
      </c>
      <c r="D71" s="9">
        <f t="shared" si="0"/>
        <v>8502596.909999996</v>
      </c>
      <c r="E71" s="9">
        <f t="shared" si="1"/>
        <v>4243.91404456246</v>
      </c>
      <c r="F71" s="9">
        <f>VLOOKUP(A71,'Source Data'!$A$2:$Q$137,7,FALSE)</f>
        <v>6600725.86</v>
      </c>
      <c r="G71" s="9">
        <f t="shared" si="2"/>
        <v>3294.6302733244156</v>
      </c>
      <c r="H71" s="9">
        <f>VLOOKUP(A71,'Source Data'!$A$2:$Q$137,8,FALSE)</f>
        <v>1885532.76</v>
      </c>
      <c r="I71" s="9">
        <f t="shared" si="3"/>
        <v>941.1288158604029</v>
      </c>
      <c r="J71" s="9">
        <f>VLOOKUP(A71,'Source Data'!$A$2:$Q$137,13,FALSE)</f>
        <v>1660658.6</v>
      </c>
      <c r="K71" s="9">
        <f t="shared" si="4"/>
        <v>828.8870365563919</v>
      </c>
      <c r="L71" s="9">
        <f>VLOOKUP(A71,'Source Data'!$A$2:$Q$137,16,FALSE)</f>
        <v>18649514.13</v>
      </c>
      <c r="M71" s="9">
        <f t="shared" si="5"/>
        <v>9308.560170303672</v>
      </c>
      <c r="N71" s="46"/>
      <c r="O71" s="47"/>
      <c r="P71" s="47"/>
      <c r="Q71" s="47"/>
      <c r="R71" s="47"/>
      <c r="S71" s="47"/>
      <c r="T71" s="46"/>
      <c r="U71" s="46"/>
      <c r="V71" s="46"/>
      <c r="W71" s="46"/>
      <c r="X71" s="46"/>
      <c r="Y71" s="46"/>
      <c r="Z71" s="46"/>
      <c r="AA71" s="46"/>
      <c r="AB71" s="46"/>
      <c r="AC71" s="46"/>
      <c r="AD71" s="46"/>
      <c r="AE71" s="46"/>
    </row>
    <row r="72" spans="1:31" ht="12.75">
      <c r="A72" s="22">
        <v>63</v>
      </c>
      <c r="B72" s="8" t="s">
        <v>213</v>
      </c>
      <c r="C72" s="130">
        <f>VLOOKUP(A72,'Source Data'!$A$2:$Q$137,17,FALSE)</f>
        <v>2549.14</v>
      </c>
      <c r="D72" s="9">
        <f t="shared" si="0"/>
        <v>8522281.639999975</v>
      </c>
      <c r="E72" s="9">
        <f t="shared" si="1"/>
        <v>3343.1987415363515</v>
      </c>
      <c r="F72" s="9">
        <f>VLOOKUP(A72,'Source Data'!$A$2:$Q$137,7,FALSE)</f>
        <v>8183313.62</v>
      </c>
      <c r="G72" s="9">
        <f t="shared" si="2"/>
        <v>3210.2252602838607</v>
      </c>
      <c r="H72" s="9">
        <f>VLOOKUP(A72,'Source Data'!$A$2:$Q$137,8,FALSE)</f>
        <v>2165471.62</v>
      </c>
      <c r="I72" s="9">
        <f t="shared" si="3"/>
        <v>849.4910518841649</v>
      </c>
      <c r="J72" s="9">
        <f>VLOOKUP(A72,'Source Data'!$A$2:$Q$137,13,FALSE)</f>
        <v>929783.01</v>
      </c>
      <c r="K72" s="9">
        <f t="shared" si="4"/>
        <v>364.74379986976004</v>
      </c>
      <c r="L72" s="9">
        <f>VLOOKUP(A72,'Source Data'!$A$2:$Q$137,16,FALSE)</f>
        <v>19800849.88999998</v>
      </c>
      <c r="M72" s="9">
        <f t="shared" si="5"/>
        <v>7767.658853574138</v>
      </c>
      <c r="N72" s="46"/>
      <c r="O72" s="47"/>
      <c r="P72" s="47"/>
      <c r="Q72" s="47"/>
      <c r="R72" s="47"/>
      <c r="S72" s="47"/>
      <c r="T72" s="46"/>
      <c r="U72" s="46"/>
      <c r="V72" s="46"/>
      <c r="W72" s="46"/>
      <c r="X72" s="46"/>
      <c r="Y72" s="46"/>
      <c r="Z72" s="46"/>
      <c r="AA72" s="46"/>
      <c r="AB72" s="46"/>
      <c r="AC72" s="46"/>
      <c r="AD72" s="46"/>
      <c r="AE72" s="46"/>
    </row>
    <row r="73" spans="1:31" ht="12.75">
      <c r="A73" s="22">
        <v>65</v>
      </c>
      <c r="B73" s="8" t="s">
        <v>214</v>
      </c>
      <c r="C73" s="130">
        <f>VLOOKUP(A73,'Source Data'!$A$2:$Q$137,17,FALSE)</f>
        <v>1938.21</v>
      </c>
      <c r="D73" s="9">
        <f t="shared" si="0"/>
        <v>6199389.490000008</v>
      </c>
      <c r="E73" s="9">
        <f t="shared" si="1"/>
        <v>3198.5127978908413</v>
      </c>
      <c r="F73" s="9">
        <f>VLOOKUP(A73,'Source Data'!$A$2:$Q$137,7,FALSE)</f>
        <v>8158536.460000001</v>
      </c>
      <c r="G73" s="9">
        <f t="shared" si="2"/>
        <v>4209.315017464568</v>
      </c>
      <c r="H73" s="9">
        <f>VLOOKUP(A73,'Source Data'!$A$2:$Q$137,8,FALSE)</f>
        <v>1851464.36</v>
      </c>
      <c r="I73" s="9">
        <f t="shared" si="3"/>
        <v>955.2444575149236</v>
      </c>
      <c r="J73" s="9">
        <f>VLOOKUP(A73,'Source Data'!$A$2:$Q$137,13,FALSE)</f>
        <v>2537075.74</v>
      </c>
      <c r="K73" s="9">
        <f t="shared" si="4"/>
        <v>1308.978769070431</v>
      </c>
      <c r="L73" s="9">
        <f>VLOOKUP(A73,'Source Data'!$A$2:$Q$137,16,FALSE)</f>
        <v>18746466.05000001</v>
      </c>
      <c r="M73" s="9">
        <f t="shared" si="5"/>
        <v>9672.051041940764</v>
      </c>
      <c r="N73" s="46"/>
      <c r="O73" s="47"/>
      <c r="P73" s="47"/>
      <c r="Q73" s="47"/>
      <c r="R73" s="47"/>
      <c r="S73" s="47"/>
      <c r="T73" s="46"/>
      <c r="U73" s="46"/>
      <c r="V73" s="46"/>
      <c r="W73" s="46"/>
      <c r="X73" s="46"/>
      <c r="Y73" s="46"/>
      <c r="Z73" s="46"/>
      <c r="AA73" s="46"/>
      <c r="AB73" s="46"/>
      <c r="AC73" s="46"/>
      <c r="AD73" s="46"/>
      <c r="AE73" s="46"/>
    </row>
    <row r="74" spans="1:31" ht="12.75">
      <c r="A74" s="22">
        <v>66</v>
      </c>
      <c r="B74" s="8" t="s">
        <v>215</v>
      </c>
      <c r="C74" s="130">
        <f>VLOOKUP(A74,'Source Data'!$A$2:$Q$137,17,FALSE)</f>
        <v>1431.53</v>
      </c>
      <c r="D74" s="9">
        <f t="shared" si="0"/>
        <v>6791827.239999998</v>
      </c>
      <c r="E74" s="9">
        <f t="shared" si="1"/>
        <v>4744.453305204919</v>
      </c>
      <c r="F74" s="9">
        <f>VLOOKUP(A74,'Source Data'!$A$2:$Q$137,7,FALSE)</f>
        <v>3285433.89</v>
      </c>
      <c r="G74" s="9">
        <f t="shared" si="2"/>
        <v>2295.050673056101</v>
      </c>
      <c r="H74" s="9">
        <f>VLOOKUP(A74,'Source Data'!$A$2:$Q$137,8,FALSE)</f>
        <v>1228750.5</v>
      </c>
      <c r="I74" s="9">
        <f t="shared" si="3"/>
        <v>858.3477118886785</v>
      </c>
      <c r="J74" s="9">
        <f>VLOOKUP(A74,'Source Data'!$A$2:$Q$137,13,FALSE)</f>
        <v>1142733.45</v>
      </c>
      <c r="K74" s="9">
        <f t="shared" si="4"/>
        <v>798.260218088339</v>
      </c>
      <c r="L74" s="9">
        <f>VLOOKUP(A74,'Source Data'!$A$2:$Q$137,16,FALSE)</f>
        <v>12448745.079999998</v>
      </c>
      <c r="M74" s="9">
        <f t="shared" si="5"/>
        <v>8696.111908238037</v>
      </c>
      <c r="N74" s="46"/>
      <c r="O74" s="47"/>
      <c r="P74" s="47"/>
      <c r="Q74" s="47"/>
      <c r="R74" s="47"/>
      <c r="S74" s="47"/>
      <c r="T74" s="46"/>
      <c r="U74" s="46"/>
      <c r="V74" s="46"/>
      <c r="W74" s="46"/>
      <c r="X74" s="46"/>
      <c r="Y74" s="46"/>
      <c r="Z74" s="46"/>
      <c r="AA74" s="46"/>
      <c r="AB74" s="46"/>
      <c r="AC74" s="46"/>
      <c r="AD74" s="46"/>
      <c r="AE74" s="46"/>
    </row>
    <row r="75" spans="1:31" ht="12.75">
      <c r="A75" s="22">
        <v>67</v>
      </c>
      <c r="B75" s="8" t="s">
        <v>216</v>
      </c>
      <c r="C75" s="130">
        <f>VLOOKUP(A75,'Source Data'!$A$2:$Q$137,17,FALSE)</f>
        <v>2306.22</v>
      </c>
      <c r="D75" s="9">
        <f t="shared" si="0"/>
        <v>3861680.449999988</v>
      </c>
      <c r="E75" s="9">
        <f t="shared" si="1"/>
        <v>1674.463169168591</v>
      </c>
      <c r="F75" s="9">
        <f>VLOOKUP(A75,'Source Data'!$A$2:$Q$137,7,FALSE)</f>
        <v>10573841.09</v>
      </c>
      <c r="G75" s="9">
        <f t="shared" si="2"/>
        <v>4584.922986532075</v>
      </c>
      <c r="H75" s="9">
        <f>VLOOKUP(A75,'Source Data'!$A$2:$Q$137,8,FALSE)</f>
        <v>2121108.58</v>
      </c>
      <c r="I75" s="9">
        <f t="shared" si="3"/>
        <v>919.7338415242259</v>
      </c>
      <c r="J75" s="9">
        <f>VLOOKUP(A75,'Source Data'!$A$2:$Q$137,13,FALSE)</f>
        <v>3409234.03</v>
      </c>
      <c r="K75" s="9">
        <f t="shared" si="4"/>
        <v>1478.2778876256386</v>
      </c>
      <c r="L75" s="9">
        <f>VLOOKUP(A75,'Source Data'!$A$2:$Q$137,16,FALSE)</f>
        <v>19965864.149999987</v>
      </c>
      <c r="M75" s="9">
        <f t="shared" si="5"/>
        <v>8657.39788485053</v>
      </c>
      <c r="N75" s="46"/>
      <c r="O75" s="47"/>
      <c r="P75" s="47"/>
      <c r="Q75" s="47"/>
      <c r="R75" s="47"/>
      <c r="S75" s="47"/>
      <c r="T75" s="46"/>
      <c r="U75" s="46"/>
      <c r="V75" s="46"/>
      <c r="W75" s="46"/>
      <c r="X75" s="46"/>
      <c r="Y75" s="46"/>
      <c r="Z75" s="46"/>
      <c r="AA75" s="46"/>
      <c r="AB75" s="46"/>
      <c r="AC75" s="46"/>
      <c r="AD75" s="46"/>
      <c r="AE75" s="46"/>
    </row>
    <row r="76" spans="1:31" ht="12.75">
      <c r="A76" s="22">
        <v>68</v>
      </c>
      <c r="B76" s="8" t="s">
        <v>217</v>
      </c>
      <c r="C76" s="130">
        <f>VLOOKUP(A76,'Source Data'!$A$2:$Q$137,17,FALSE)</f>
        <v>4317.81</v>
      </c>
      <c r="D76" s="9">
        <f aca="true" t="shared" si="6" ref="D76:D105">SUM(L76-J76-H76-F76)</f>
        <v>12979566.709999992</v>
      </c>
      <c r="E76" s="9">
        <f aca="true" t="shared" si="7" ref="E76:E105">SUM(D76/C76)</f>
        <v>3006.053233004692</v>
      </c>
      <c r="F76" s="9">
        <f>VLOOKUP(A76,'Source Data'!$A$2:$Q$137,7,FALSE)</f>
        <v>14618534.960000003</v>
      </c>
      <c r="G76" s="9">
        <f aca="true" t="shared" si="8" ref="G76:G105">SUM(F76/C76)</f>
        <v>3385.636459223542</v>
      </c>
      <c r="H76" s="9">
        <f>VLOOKUP(A76,'Source Data'!$A$2:$Q$137,8,FALSE)</f>
        <v>3529635.58</v>
      </c>
      <c r="I76" s="9">
        <f aca="true" t="shared" si="9" ref="I76:I105">SUM(H76/C76)</f>
        <v>817.4596797913756</v>
      </c>
      <c r="J76" s="9">
        <f>VLOOKUP(A76,'Source Data'!$A$2:$Q$137,13,FALSE)</f>
        <v>2409420.43</v>
      </c>
      <c r="K76" s="9">
        <f aca="true" t="shared" si="10" ref="K76:K105">SUM(J76/C76)</f>
        <v>558.0190953284188</v>
      </c>
      <c r="L76" s="9">
        <f>VLOOKUP(A76,'Source Data'!$A$2:$Q$137,16,FALSE)</f>
        <v>33537157.679999996</v>
      </c>
      <c r="M76" s="9">
        <f aca="true" t="shared" si="11" ref="M76:M105">SUM(L76/C76)</f>
        <v>7767.168467348029</v>
      </c>
      <c r="N76" s="46"/>
      <c r="O76" s="47"/>
      <c r="P76" s="47"/>
      <c r="Q76" s="47"/>
      <c r="R76" s="47"/>
      <c r="S76" s="47"/>
      <c r="T76" s="46"/>
      <c r="U76" s="46"/>
      <c r="V76" s="46"/>
      <c r="W76" s="46"/>
      <c r="X76" s="46"/>
      <c r="Y76" s="46"/>
      <c r="Z76" s="46"/>
      <c r="AA76" s="46"/>
      <c r="AB76" s="46"/>
      <c r="AC76" s="46"/>
      <c r="AD76" s="46"/>
      <c r="AE76" s="46"/>
    </row>
    <row r="77" spans="1:31" ht="12.75">
      <c r="A77" s="22">
        <v>69</v>
      </c>
      <c r="B77" s="8" t="s">
        <v>218</v>
      </c>
      <c r="C77" s="130">
        <f>VLOOKUP(A77,'Source Data'!$A$2:$Q$137,17,FALSE)</f>
        <v>3529.39</v>
      </c>
      <c r="D77" s="9">
        <f t="shared" si="6"/>
        <v>8960247.66999999</v>
      </c>
      <c r="E77" s="9">
        <f t="shared" si="7"/>
        <v>2538.7524954737196</v>
      </c>
      <c r="F77" s="9">
        <f>VLOOKUP(A77,'Source Data'!$A$2:$Q$137,7,FALSE)</f>
        <v>13795923.91</v>
      </c>
      <c r="G77" s="9">
        <f t="shared" si="8"/>
        <v>3908.8692125268108</v>
      </c>
      <c r="H77" s="9">
        <f>VLOOKUP(A77,'Source Data'!$A$2:$Q$137,8,FALSE)</f>
        <v>2799031.5</v>
      </c>
      <c r="I77" s="9">
        <f t="shared" si="9"/>
        <v>793.063815560196</v>
      </c>
      <c r="J77" s="9">
        <f>VLOOKUP(A77,'Source Data'!$A$2:$Q$137,13,FALSE)</f>
        <v>2222189.96</v>
      </c>
      <c r="K77" s="9">
        <f t="shared" si="10"/>
        <v>629.6243713502901</v>
      </c>
      <c r="L77" s="9">
        <f>VLOOKUP(A77,'Source Data'!$A$2:$Q$137,16,FALSE)</f>
        <v>27777393.03999999</v>
      </c>
      <c r="M77" s="9">
        <f t="shared" si="11"/>
        <v>7870.309894911016</v>
      </c>
      <c r="N77" s="46"/>
      <c r="O77" s="47"/>
      <c r="P77" s="47"/>
      <c r="Q77" s="47"/>
      <c r="R77" s="47"/>
      <c r="S77" s="47"/>
      <c r="T77" s="46"/>
      <c r="U77" s="46"/>
      <c r="V77" s="46"/>
      <c r="W77" s="46"/>
      <c r="X77" s="46"/>
      <c r="Y77" s="46"/>
      <c r="Z77" s="46"/>
      <c r="AA77" s="46"/>
      <c r="AB77" s="46"/>
      <c r="AC77" s="46"/>
      <c r="AD77" s="46"/>
      <c r="AE77" s="46"/>
    </row>
    <row r="78" spans="1:31" ht="12.75">
      <c r="A78" s="22">
        <v>70</v>
      </c>
      <c r="B78" s="8" t="s">
        <v>219</v>
      </c>
      <c r="C78" s="130">
        <f>VLOOKUP(A78,'Source Data'!$A$2:$Q$137,17,FALSE)</f>
        <v>2565.31</v>
      </c>
      <c r="D78" s="9">
        <f t="shared" si="6"/>
        <v>4499432.319999987</v>
      </c>
      <c r="E78" s="9">
        <f t="shared" si="7"/>
        <v>1753.9526684884038</v>
      </c>
      <c r="F78" s="9">
        <f>VLOOKUP(A78,'Source Data'!$A$2:$Q$137,7,FALSE)</f>
        <v>11437311.440000001</v>
      </c>
      <c r="G78" s="9">
        <f t="shared" si="8"/>
        <v>4458.451976564236</v>
      </c>
      <c r="H78" s="9">
        <f>VLOOKUP(A78,'Source Data'!$A$2:$Q$137,8,FALSE)</f>
        <v>2085756.76</v>
      </c>
      <c r="I78" s="9">
        <f t="shared" si="9"/>
        <v>813.0622653792329</v>
      </c>
      <c r="J78" s="9">
        <f>VLOOKUP(A78,'Source Data'!$A$2:$Q$137,13,FALSE)</f>
        <v>1946342.76</v>
      </c>
      <c r="K78" s="9">
        <f t="shared" si="10"/>
        <v>758.716396848724</v>
      </c>
      <c r="L78" s="9">
        <f>VLOOKUP(A78,'Source Data'!$A$2:$Q$137,16,FALSE)</f>
        <v>19968843.27999999</v>
      </c>
      <c r="M78" s="9">
        <f t="shared" si="11"/>
        <v>7784.183307280598</v>
      </c>
      <c r="N78" s="46"/>
      <c r="O78" s="47"/>
      <c r="P78" s="47"/>
      <c r="Q78" s="47"/>
      <c r="R78" s="47"/>
      <c r="S78" s="47"/>
      <c r="T78" s="46"/>
      <c r="U78" s="46"/>
      <c r="V78" s="46"/>
      <c r="W78" s="46"/>
      <c r="X78" s="46"/>
      <c r="Y78" s="46"/>
      <c r="Z78" s="46"/>
      <c r="AA78" s="46"/>
      <c r="AB78" s="46"/>
      <c r="AC78" s="46"/>
      <c r="AD78" s="46"/>
      <c r="AE78" s="46"/>
    </row>
    <row r="79" spans="1:31" ht="12.75">
      <c r="A79" s="22">
        <v>71</v>
      </c>
      <c r="B79" s="8" t="s">
        <v>220</v>
      </c>
      <c r="C79" s="130">
        <f>VLOOKUP(A79,'Source Data'!$A$2:$Q$137,17,FALSE)</f>
        <v>9040.83</v>
      </c>
      <c r="D79" s="9">
        <f t="shared" si="6"/>
        <v>15550715.580000006</v>
      </c>
      <c r="E79" s="9">
        <f t="shared" si="7"/>
        <v>1720.0539751328147</v>
      </c>
      <c r="F79" s="9">
        <f>VLOOKUP(A79,'Source Data'!$A$2:$Q$137,7,FALSE)</f>
        <v>37298810.970000006</v>
      </c>
      <c r="G79" s="9">
        <f t="shared" si="8"/>
        <v>4125.595876706011</v>
      </c>
      <c r="H79" s="9">
        <f>VLOOKUP(A79,'Source Data'!$A$2:$Q$137,8,FALSE)</f>
        <v>7924350.73</v>
      </c>
      <c r="I79" s="9">
        <f t="shared" si="9"/>
        <v>876.5069943799408</v>
      </c>
      <c r="J79" s="9">
        <f>VLOOKUP(A79,'Source Data'!$A$2:$Q$137,13,FALSE)</f>
        <v>6592932.61</v>
      </c>
      <c r="K79" s="9">
        <f t="shared" si="10"/>
        <v>729.239750111439</v>
      </c>
      <c r="L79" s="9">
        <f>VLOOKUP(A79,'Source Data'!$A$2:$Q$137,16,FALSE)</f>
        <v>67366809.89000002</v>
      </c>
      <c r="M79" s="9">
        <f t="shared" si="11"/>
        <v>7451.396596330206</v>
      </c>
      <c r="N79" s="46"/>
      <c r="O79" s="47"/>
      <c r="P79" s="47"/>
      <c r="Q79" s="47"/>
      <c r="R79" s="47"/>
      <c r="S79" s="47"/>
      <c r="T79" s="46"/>
      <c r="U79" s="46"/>
      <c r="V79" s="46"/>
      <c r="W79" s="46"/>
      <c r="X79" s="46"/>
      <c r="Y79" s="46"/>
      <c r="Z79" s="46"/>
      <c r="AA79" s="46"/>
      <c r="AB79" s="46"/>
      <c r="AC79" s="46"/>
      <c r="AD79" s="46"/>
      <c r="AE79" s="46"/>
    </row>
    <row r="80" spans="1:31" ht="12.75">
      <c r="A80" s="22">
        <v>72</v>
      </c>
      <c r="B80" s="8" t="s">
        <v>221</v>
      </c>
      <c r="C80" s="130">
        <f>VLOOKUP(A80,'Source Data'!$A$2:$Q$137,17,FALSE)</f>
        <v>4144.57</v>
      </c>
      <c r="D80" s="9">
        <f t="shared" si="6"/>
        <v>16702723.409999998</v>
      </c>
      <c r="E80" s="9">
        <f t="shared" si="7"/>
        <v>4030.025650429357</v>
      </c>
      <c r="F80" s="9">
        <f>VLOOKUP(A80,'Source Data'!$A$2:$Q$137,7,FALSE)</f>
        <v>13122699.700000001</v>
      </c>
      <c r="G80" s="9">
        <f t="shared" si="8"/>
        <v>3166.2391273401104</v>
      </c>
      <c r="H80" s="9">
        <f>VLOOKUP(A80,'Source Data'!$A$2:$Q$137,8,FALSE)</f>
        <v>3239196.2</v>
      </c>
      <c r="I80" s="9">
        <f t="shared" si="9"/>
        <v>781.5518135777658</v>
      </c>
      <c r="J80" s="9">
        <f>VLOOKUP(A80,'Source Data'!$A$2:$Q$137,13,FALSE)</f>
        <v>1275876.84</v>
      </c>
      <c r="K80" s="9">
        <f t="shared" si="10"/>
        <v>307.8429945687973</v>
      </c>
      <c r="L80" s="9">
        <f>VLOOKUP(A80,'Source Data'!$A$2:$Q$137,16,FALSE)</f>
        <v>34340496.15</v>
      </c>
      <c r="M80" s="9">
        <f t="shared" si="11"/>
        <v>8285.65958591603</v>
      </c>
      <c r="N80" s="46"/>
      <c r="O80" s="47"/>
      <c r="P80" s="47"/>
      <c r="Q80" s="47"/>
      <c r="R80" s="47"/>
      <c r="S80" s="47"/>
      <c r="T80" s="46"/>
      <c r="U80" s="46"/>
      <c r="V80" s="46"/>
      <c r="W80" s="46"/>
      <c r="X80" s="46"/>
      <c r="Y80" s="46"/>
      <c r="Z80" s="46"/>
      <c r="AA80" s="46"/>
      <c r="AB80" s="46"/>
      <c r="AC80" s="46"/>
      <c r="AD80" s="46"/>
      <c r="AE80" s="46"/>
    </row>
    <row r="81" spans="1:31" ht="12.75">
      <c r="A81" s="22">
        <v>73</v>
      </c>
      <c r="B81" s="8" t="s">
        <v>222</v>
      </c>
      <c r="C81" s="130">
        <f>VLOOKUP(A81,'Source Data'!$A$2:$Q$137,17,FALSE)</f>
        <v>2638.48</v>
      </c>
      <c r="D81" s="9">
        <f t="shared" si="6"/>
        <v>5866028.409999989</v>
      </c>
      <c r="E81" s="9">
        <f t="shared" si="7"/>
        <v>2223.260517419116</v>
      </c>
      <c r="F81" s="9">
        <f>VLOOKUP(A81,'Source Data'!$A$2:$Q$137,7,FALSE)</f>
        <v>12005235.39</v>
      </c>
      <c r="G81" s="9">
        <f t="shared" si="8"/>
        <v>4550.057377732634</v>
      </c>
      <c r="H81" s="9">
        <f>VLOOKUP(A81,'Source Data'!$A$2:$Q$137,8,FALSE)</f>
        <v>2509285.3</v>
      </c>
      <c r="I81" s="9">
        <f t="shared" si="9"/>
        <v>951.034421333495</v>
      </c>
      <c r="J81" s="9">
        <f>VLOOKUP(A81,'Source Data'!$A$2:$Q$137,13,FALSE)</f>
        <v>2456132.66</v>
      </c>
      <c r="K81" s="9">
        <f t="shared" si="10"/>
        <v>930.8892468390892</v>
      </c>
      <c r="L81" s="9">
        <f>VLOOKUP(A81,'Source Data'!$A$2:$Q$137,16,FALSE)</f>
        <v>22836681.75999999</v>
      </c>
      <c r="M81" s="9">
        <f t="shared" si="11"/>
        <v>8655.241563324334</v>
      </c>
      <c r="N81" s="46"/>
      <c r="O81" s="47"/>
      <c r="P81" s="47"/>
      <c r="Q81" s="47"/>
      <c r="R81" s="47"/>
      <c r="S81" s="47"/>
      <c r="T81" s="46"/>
      <c r="U81" s="46"/>
      <c r="V81" s="46"/>
      <c r="W81" s="46"/>
      <c r="X81" s="46"/>
      <c r="Y81" s="46"/>
      <c r="Z81" s="46"/>
      <c r="AA81" s="46"/>
      <c r="AB81" s="46"/>
      <c r="AC81" s="46"/>
      <c r="AD81" s="46"/>
      <c r="AE81" s="46"/>
    </row>
    <row r="82" spans="1:31" ht="12.75">
      <c r="A82" s="22">
        <v>74</v>
      </c>
      <c r="B82" s="8" t="s">
        <v>223</v>
      </c>
      <c r="C82" s="130">
        <f>VLOOKUP(A82,'Source Data'!$A$2:$Q$137,17,FALSE)</f>
        <v>6056.01</v>
      </c>
      <c r="D82" s="9">
        <f t="shared" si="6"/>
        <v>10804364.900000017</v>
      </c>
      <c r="E82" s="9">
        <f t="shared" si="7"/>
        <v>1784.0731603811778</v>
      </c>
      <c r="F82" s="9">
        <f>VLOOKUP(A82,'Source Data'!$A$2:$Q$137,7,FALSE)</f>
        <v>24467051.479999993</v>
      </c>
      <c r="G82" s="9">
        <f t="shared" si="8"/>
        <v>4040.127324756728</v>
      </c>
      <c r="H82" s="9">
        <f>VLOOKUP(A82,'Source Data'!$A$2:$Q$137,8,FALSE)</f>
        <v>4781823.16</v>
      </c>
      <c r="I82" s="9">
        <f t="shared" si="9"/>
        <v>789.5996142674798</v>
      </c>
      <c r="J82" s="9">
        <f>VLOOKUP(A82,'Source Data'!$A$2:$Q$137,13,FALSE)</f>
        <v>6680879.130000001</v>
      </c>
      <c r="K82" s="9">
        <f t="shared" si="10"/>
        <v>1103.1816542575064</v>
      </c>
      <c r="L82" s="9">
        <f>VLOOKUP(A82,'Source Data'!$A$2:$Q$137,16,FALSE)</f>
        <v>46734118.67000002</v>
      </c>
      <c r="M82" s="9">
        <f t="shared" si="11"/>
        <v>7716.9817536628925</v>
      </c>
      <c r="N82" s="46"/>
      <c r="O82" s="47"/>
      <c r="P82" s="47"/>
      <c r="Q82" s="47"/>
      <c r="R82" s="47"/>
      <c r="S82" s="47"/>
      <c r="T82" s="46"/>
      <c r="U82" s="46"/>
      <c r="V82" s="46"/>
      <c r="W82" s="46"/>
      <c r="X82" s="46"/>
      <c r="Y82" s="46"/>
      <c r="Z82" s="46"/>
      <c r="AA82" s="46"/>
      <c r="AB82" s="46"/>
      <c r="AC82" s="46"/>
      <c r="AD82" s="46"/>
      <c r="AE82" s="46"/>
    </row>
    <row r="83" spans="1:31" ht="12.75">
      <c r="A83" s="22">
        <v>75</v>
      </c>
      <c r="B83" s="8" t="s">
        <v>224</v>
      </c>
      <c r="C83" s="130">
        <f>VLOOKUP(A83,'Source Data'!$A$2:$Q$137,17,FALSE)</f>
        <v>65269.43</v>
      </c>
      <c r="D83" s="9">
        <f t="shared" si="6"/>
        <v>275984544.00999975</v>
      </c>
      <c r="E83" s="9">
        <f t="shared" si="7"/>
        <v>4228.389063762312</v>
      </c>
      <c r="F83" s="9">
        <f>VLOOKUP(A83,'Source Data'!$A$2:$Q$137,7,FALSE)</f>
        <v>233930429.83</v>
      </c>
      <c r="G83" s="9">
        <f t="shared" si="8"/>
        <v>3584.0734296285414</v>
      </c>
      <c r="H83" s="9">
        <f>VLOOKUP(A83,'Source Data'!$A$2:$Q$137,8,FALSE)</f>
        <v>49469649.16</v>
      </c>
      <c r="I83" s="9">
        <f t="shared" si="9"/>
        <v>757.9298480161386</v>
      </c>
      <c r="J83" s="9">
        <f>VLOOKUP(A83,'Source Data'!$A$2:$Q$137,13,FALSE)</f>
        <v>27502131.960000005</v>
      </c>
      <c r="K83" s="9">
        <f t="shared" si="10"/>
        <v>421.36313983437583</v>
      </c>
      <c r="L83" s="9">
        <f>VLOOKUP(A83,'Source Data'!$A$2:$Q$137,16,FALSE)</f>
        <v>586886754.9599998</v>
      </c>
      <c r="M83" s="9">
        <f t="shared" si="11"/>
        <v>8991.75548124137</v>
      </c>
      <c r="N83" s="46"/>
      <c r="O83" s="47"/>
      <c r="P83" s="47"/>
      <c r="Q83" s="47"/>
      <c r="R83" s="47"/>
      <c r="S83" s="47"/>
      <c r="T83" s="46"/>
      <c r="U83" s="46"/>
      <c r="V83" s="46"/>
      <c r="W83" s="46"/>
      <c r="X83" s="46"/>
      <c r="Y83" s="46"/>
      <c r="Z83" s="46"/>
      <c r="AA83" s="46"/>
      <c r="AB83" s="46"/>
      <c r="AC83" s="46"/>
      <c r="AD83" s="46"/>
      <c r="AE83" s="46"/>
    </row>
    <row r="84" spans="1:31" ht="12.75">
      <c r="A84" s="22">
        <v>77</v>
      </c>
      <c r="B84" s="8" t="s">
        <v>225</v>
      </c>
      <c r="C84" s="130">
        <f>VLOOKUP(A84,'Source Data'!$A$2:$Q$137,17,FALSE)</f>
        <v>4867.58</v>
      </c>
      <c r="D84" s="9">
        <f t="shared" si="6"/>
        <v>12923300.630000006</v>
      </c>
      <c r="E84" s="9">
        <f t="shared" si="7"/>
        <v>2654.9744698597674</v>
      </c>
      <c r="F84" s="9">
        <f>VLOOKUP(A84,'Source Data'!$A$2:$Q$137,7,FALSE)</f>
        <v>18161266.35</v>
      </c>
      <c r="G84" s="9">
        <f t="shared" si="8"/>
        <v>3731.0668443045624</v>
      </c>
      <c r="H84" s="9">
        <f>VLOOKUP(A84,'Source Data'!$A$2:$Q$137,8,FALSE)</f>
        <v>4286580.2</v>
      </c>
      <c r="I84" s="9">
        <f t="shared" si="9"/>
        <v>880.638880100584</v>
      </c>
      <c r="J84" s="9">
        <f>VLOOKUP(A84,'Source Data'!$A$2:$Q$137,13,FALSE)</f>
        <v>4083204.54</v>
      </c>
      <c r="K84" s="9">
        <f t="shared" si="10"/>
        <v>838.8572021415159</v>
      </c>
      <c r="L84" s="9">
        <f>VLOOKUP(A84,'Source Data'!$A$2:$Q$137,16,FALSE)</f>
        <v>39454351.720000006</v>
      </c>
      <c r="M84" s="9">
        <f t="shared" si="11"/>
        <v>8105.537396406429</v>
      </c>
      <c r="N84" s="46"/>
      <c r="O84" s="47"/>
      <c r="P84" s="47"/>
      <c r="Q84" s="47"/>
      <c r="R84" s="47"/>
      <c r="S84" s="47"/>
      <c r="T84" s="46"/>
      <c r="U84" s="46"/>
      <c r="V84" s="46"/>
      <c r="W84" s="46"/>
      <c r="X84" s="46"/>
      <c r="Y84" s="46"/>
      <c r="Z84" s="46"/>
      <c r="AA84" s="46"/>
      <c r="AB84" s="46"/>
      <c r="AC84" s="46"/>
      <c r="AD84" s="46"/>
      <c r="AE84" s="46"/>
    </row>
    <row r="85" spans="1:31" ht="12.75">
      <c r="A85" s="22">
        <v>78</v>
      </c>
      <c r="B85" s="8" t="s">
        <v>226</v>
      </c>
      <c r="C85" s="130">
        <f>VLOOKUP(A85,'Source Data'!$A$2:$Q$137,17,FALSE)</f>
        <v>1014.23</v>
      </c>
      <c r="D85" s="9">
        <f t="shared" si="6"/>
        <v>6244035.089999993</v>
      </c>
      <c r="E85" s="9">
        <f t="shared" si="7"/>
        <v>6156.429103852177</v>
      </c>
      <c r="F85" s="9">
        <f>VLOOKUP(A85,'Source Data'!$A$2:$Q$137,7,FALSE)</f>
        <v>1980701.04</v>
      </c>
      <c r="G85" s="9">
        <f t="shared" si="8"/>
        <v>1952.9111148358854</v>
      </c>
      <c r="H85" s="9">
        <f>VLOOKUP(A85,'Source Data'!$A$2:$Q$137,8,FALSE)</f>
        <v>1034213.76</v>
      </c>
      <c r="I85" s="9">
        <f t="shared" si="9"/>
        <v>1019.7033808899362</v>
      </c>
      <c r="J85" s="9">
        <f>VLOOKUP(A85,'Source Data'!$A$2:$Q$137,13,FALSE)</f>
        <v>508375.32</v>
      </c>
      <c r="K85" s="9">
        <f t="shared" si="10"/>
        <v>501.2426372716248</v>
      </c>
      <c r="L85" s="9">
        <f>VLOOKUP(A85,'Source Data'!$A$2:$Q$137,16,FALSE)</f>
        <v>9767325.209999993</v>
      </c>
      <c r="M85" s="9">
        <f t="shared" si="11"/>
        <v>9630.286236849623</v>
      </c>
      <c r="N85" s="46"/>
      <c r="O85" s="47"/>
      <c r="P85" s="47"/>
      <c r="Q85" s="47"/>
      <c r="R85" s="47"/>
      <c r="S85" s="47"/>
      <c r="T85" s="46"/>
      <c r="U85" s="46"/>
      <c r="V85" s="46"/>
      <c r="W85" s="46"/>
      <c r="X85" s="46"/>
      <c r="Y85" s="46"/>
      <c r="Z85" s="46"/>
      <c r="AA85" s="46"/>
      <c r="AB85" s="46"/>
      <c r="AC85" s="46"/>
      <c r="AD85" s="46"/>
      <c r="AE85" s="46"/>
    </row>
    <row r="86" spans="1:31" ht="12.75">
      <c r="A86" s="22">
        <v>79</v>
      </c>
      <c r="B86" s="8" t="s">
        <v>227</v>
      </c>
      <c r="C86" s="130">
        <f>VLOOKUP(A86,'Source Data'!$A$2:$Q$137,17,FALSE)</f>
        <v>1212.64</v>
      </c>
      <c r="D86" s="9">
        <f t="shared" si="6"/>
        <v>3263574.0600000042</v>
      </c>
      <c r="E86" s="9">
        <f t="shared" si="7"/>
        <v>2691.2967245019163</v>
      </c>
      <c r="F86" s="9">
        <f>VLOOKUP(A86,'Source Data'!$A$2:$Q$137,7,FALSE)</f>
        <v>4906902.24</v>
      </c>
      <c r="G86" s="9">
        <f t="shared" si="8"/>
        <v>4046.4624620662353</v>
      </c>
      <c r="H86" s="9">
        <f>VLOOKUP(A86,'Source Data'!$A$2:$Q$137,8,FALSE)</f>
        <v>930930.98</v>
      </c>
      <c r="I86" s="9">
        <f t="shared" si="9"/>
        <v>767.689487399393</v>
      </c>
      <c r="J86" s="9">
        <f>VLOOKUP(A86,'Source Data'!$A$2:$Q$137,13,FALSE)</f>
        <v>732580.13</v>
      </c>
      <c r="K86" s="9">
        <f t="shared" si="10"/>
        <v>604.1200438712231</v>
      </c>
      <c r="L86" s="9">
        <f>VLOOKUP(A86,'Source Data'!$A$2:$Q$137,16,FALSE)</f>
        <v>9833987.410000006</v>
      </c>
      <c r="M86" s="9">
        <f t="shared" si="11"/>
        <v>8109.568717838769</v>
      </c>
      <c r="N86" s="46"/>
      <c r="O86" s="47"/>
      <c r="P86" s="47"/>
      <c r="Q86" s="47"/>
      <c r="R86" s="47"/>
      <c r="S86" s="47"/>
      <c r="T86" s="46"/>
      <c r="U86" s="46"/>
      <c r="V86" s="46"/>
      <c r="W86" s="46"/>
      <c r="X86" s="46"/>
      <c r="Y86" s="46"/>
      <c r="Z86" s="46"/>
      <c r="AA86" s="46"/>
      <c r="AB86" s="46"/>
      <c r="AC86" s="46"/>
      <c r="AD86" s="46"/>
      <c r="AE86" s="46"/>
    </row>
    <row r="87" spans="1:31" ht="12.75">
      <c r="A87" s="22">
        <v>80</v>
      </c>
      <c r="B87" s="8" t="s">
        <v>228</v>
      </c>
      <c r="C87" s="130">
        <f>VLOOKUP(A87,'Source Data'!$A$2:$Q$137,17,FALSE)</f>
        <v>14516.16</v>
      </c>
      <c r="D87" s="9">
        <f t="shared" si="6"/>
        <v>52873717.97000017</v>
      </c>
      <c r="E87" s="9">
        <f t="shared" si="7"/>
        <v>3642.4039119161107</v>
      </c>
      <c r="F87" s="9">
        <f>VLOOKUP(A87,'Source Data'!$A$2:$Q$137,7,FALSE)</f>
        <v>48726269.559999995</v>
      </c>
      <c r="G87" s="9">
        <f t="shared" si="8"/>
        <v>3356.6914087472164</v>
      </c>
      <c r="H87" s="9">
        <f>VLOOKUP(A87,'Source Data'!$A$2:$Q$137,8,FALSE)</f>
        <v>12384224.06</v>
      </c>
      <c r="I87" s="9">
        <f t="shared" si="9"/>
        <v>853.1336152260653</v>
      </c>
      <c r="J87" s="9">
        <f>VLOOKUP(A87,'Source Data'!$A$2:$Q$137,13,FALSE)</f>
        <v>5653384.88</v>
      </c>
      <c r="K87" s="9">
        <f t="shared" si="10"/>
        <v>389.4545720080242</v>
      </c>
      <c r="L87" s="9">
        <f>VLOOKUP(A87,'Source Data'!$A$2:$Q$137,16,FALSE)</f>
        <v>119637596.47000016</v>
      </c>
      <c r="M87" s="9">
        <f t="shared" si="11"/>
        <v>8241.683507897416</v>
      </c>
      <c r="N87" s="46"/>
      <c r="O87" s="47"/>
      <c r="P87" s="47"/>
      <c r="Q87" s="47"/>
      <c r="R87" s="47"/>
      <c r="S87" s="47"/>
      <c r="T87" s="46"/>
      <c r="U87" s="46"/>
      <c r="V87" s="46"/>
      <c r="W87" s="46"/>
      <c r="X87" s="46"/>
      <c r="Y87" s="46"/>
      <c r="Z87" s="46"/>
      <c r="AA87" s="46"/>
      <c r="AB87" s="46"/>
      <c r="AC87" s="46"/>
      <c r="AD87" s="46"/>
      <c r="AE87" s="46"/>
    </row>
    <row r="88" spans="1:31" ht="12.75">
      <c r="A88" s="22">
        <v>81</v>
      </c>
      <c r="B88" s="8" t="s">
        <v>229</v>
      </c>
      <c r="C88" s="130">
        <f>VLOOKUP(A88,'Source Data'!$A$2:$Q$137,17,FALSE)</f>
        <v>2724.29</v>
      </c>
      <c r="D88" s="9">
        <f t="shared" si="6"/>
        <v>12067013.900000026</v>
      </c>
      <c r="E88" s="9">
        <f t="shared" si="7"/>
        <v>4429.416068039756</v>
      </c>
      <c r="F88" s="9">
        <f>VLOOKUP(A88,'Source Data'!$A$2:$Q$137,7,FALSE)</f>
        <v>8058833.4</v>
      </c>
      <c r="G88" s="9">
        <f t="shared" si="8"/>
        <v>2958.140799988254</v>
      </c>
      <c r="H88" s="9">
        <f>VLOOKUP(A88,'Source Data'!$A$2:$Q$137,8,FALSE)</f>
        <v>2384514.22</v>
      </c>
      <c r="I88" s="9">
        <f t="shared" si="9"/>
        <v>875.2791442908061</v>
      </c>
      <c r="J88" s="9">
        <f>VLOOKUP(A88,'Source Data'!$A$2:$Q$137,13,FALSE)</f>
        <v>2410492.49</v>
      </c>
      <c r="K88" s="9">
        <f t="shared" si="10"/>
        <v>884.8149389382189</v>
      </c>
      <c r="L88" s="9">
        <f>VLOOKUP(A88,'Source Data'!$A$2:$Q$137,16,FALSE)</f>
        <v>24920854.010000028</v>
      </c>
      <c r="M88" s="9">
        <f t="shared" si="11"/>
        <v>9147.650951257036</v>
      </c>
      <c r="N88" s="46"/>
      <c r="O88" s="47"/>
      <c r="P88" s="47"/>
      <c r="Q88" s="47"/>
      <c r="R88" s="47"/>
      <c r="S88" s="47"/>
      <c r="T88" s="46"/>
      <c r="U88" s="46"/>
      <c r="V88" s="46"/>
      <c r="W88" s="46"/>
      <c r="X88" s="46"/>
      <c r="Y88" s="46"/>
      <c r="Z88" s="46"/>
      <c r="AA88" s="46"/>
      <c r="AB88" s="46"/>
      <c r="AC88" s="46"/>
      <c r="AD88" s="46"/>
      <c r="AE88" s="46"/>
    </row>
    <row r="89" spans="1:31" ht="12.75">
      <c r="A89" s="22">
        <v>82</v>
      </c>
      <c r="B89" s="8" t="s">
        <v>230</v>
      </c>
      <c r="C89" s="130">
        <f>VLOOKUP(A89,'Source Data'!$A$2:$Q$137,17,FALSE)</f>
        <v>10946.62</v>
      </c>
      <c r="D89" s="9">
        <f t="shared" si="6"/>
        <v>38057747.70000002</v>
      </c>
      <c r="E89" s="9">
        <f t="shared" si="7"/>
        <v>3476.666560088869</v>
      </c>
      <c r="F89" s="9">
        <f>VLOOKUP(A89,'Source Data'!$A$2:$Q$137,7,FALSE)</f>
        <v>37290152.68000001</v>
      </c>
      <c r="G89" s="9">
        <f t="shared" si="8"/>
        <v>3406.5449134070614</v>
      </c>
      <c r="H89" s="9">
        <f>VLOOKUP(A89,'Source Data'!$A$2:$Q$137,8,FALSE)</f>
        <v>10320663.04</v>
      </c>
      <c r="I89" s="9">
        <f t="shared" si="9"/>
        <v>942.8173299155354</v>
      </c>
      <c r="J89" s="9">
        <f>VLOOKUP(A89,'Source Data'!$A$2:$Q$137,13,FALSE)</f>
        <v>6664225.04</v>
      </c>
      <c r="K89" s="9">
        <f t="shared" si="10"/>
        <v>608.7929461331443</v>
      </c>
      <c r="L89" s="9">
        <f>VLOOKUP(A89,'Source Data'!$A$2:$Q$137,16,FALSE)</f>
        <v>92332788.46000002</v>
      </c>
      <c r="M89" s="9">
        <f t="shared" si="11"/>
        <v>8434.82174954461</v>
      </c>
      <c r="N89" s="46"/>
      <c r="O89" s="47"/>
      <c r="P89" s="47"/>
      <c r="Q89" s="47"/>
      <c r="R89" s="47"/>
      <c r="S89" s="47"/>
      <c r="T89" s="46"/>
      <c r="U89" s="46"/>
      <c r="V89" s="46"/>
      <c r="W89" s="46"/>
      <c r="X89" s="46"/>
      <c r="Y89" s="46"/>
      <c r="Z89" s="46"/>
      <c r="AA89" s="46"/>
      <c r="AB89" s="46"/>
      <c r="AC89" s="46"/>
      <c r="AD89" s="46"/>
      <c r="AE89" s="46"/>
    </row>
    <row r="90" spans="1:31" ht="12.75">
      <c r="A90" s="22">
        <v>83</v>
      </c>
      <c r="B90" s="8" t="s">
        <v>231</v>
      </c>
      <c r="C90" s="130">
        <f>VLOOKUP(A90,'Source Data'!$A$2:$Q$137,17,FALSE)</f>
        <v>4079.64</v>
      </c>
      <c r="D90" s="9">
        <f t="shared" si="6"/>
        <v>6456608.930000003</v>
      </c>
      <c r="E90" s="9">
        <f t="shared" si="7"/>
        <v>1582.641833593161</v>
      </c>
      <c r="F90" s="9">
        <f>VLOOKUP(A90,'Source Data'!$A$2:$Q$137,7,FALSE)</f>
        <v>18695997.48</v>
      </c>
      <c r="G90" s="9">
        <f t="shared" si="8"/>
        <v>4582.756684413331</v>
      </c>
      <c r="H90" s="9">
        <f>VLOOKUP(A90,'Source Data'!$A$2:$Q$137,8,FALSE)</f>
        <v>3665497.42</v>
      </c>
      <c r="I90" s="9">
        <f t="shared" si="9"/>
        <v>898.485508525262</v>
      </c>
      <c r="J90" s="9">
        <f>VLOOKUP(A90,'Source Data'!$A$2:$Q$137,13,FALSE)</f>
        <v>5240214.41</v>
      </c>
      <c r="K90" s="9">
        <f t="shared" si="10"/>
        <v>1284.4796133972607</v>
      </c>
      <c r="L90" s="9">
        <f>VLOOKUP(A90,'Source Data'!$A$2:$Q$137,16,FALSE)</f>
        <v>34058318.24</v>
      </c>
      <c r="M90" s="9">
        <f t="shared" si="11"/>
        <v>8348.363639929014</v>
      </c>
      <c r="N90" s="46"/>
      <c r="O90" s="47"/>
      <c r="P90" s="47"/>
      <c r="Q90" s="47"/>
      <c r="R90" s="47"/>
      <c r="S90" s="47"/>
      <c r="T90" s="46"/>
      <c r="U90" s="46"/>
      <c r="V90" s="46"/>
      <c r="W90" s="46"/>
      <c r="X90" s="46"/>
      <c r="Y90" s="46"/>
      <c r="Z90" s="46"/>
      <c r="AA90" s="46"/>
      <c r="AB90" s="46"/>
      <c r="AC90" s="46"/>
      <c r="AD90" s="46"/>
      <c r="AE90" s="46"/>
    </row>
    <row r="91" spans="1:31" ht="12.75">
      <c r="A91" s="22">
        <v>84</v>
      </c>
      <c r="B91" s="8" t="s">
        <v>232</v>
      </c>
      <c r="C91" s="130">
        <f>VLOOKUP(A91,'Source Data'!$A$2:$Q$137,17,FALSE)</f>
        <v>3653.85</v>
      </c>
      <c r="D91" s="9">
        <f t="shared" si="6"/>
        <v>5039989.760000002</v>
      </c>
      <c r="E91" s="9">
        <f t="shared" si="7"/>
        <v>1379.3641665640357</v>
      </c>
      <c r="F91" s="9">
        <f>VLOOKUP(A91,'Source Data'!$A$2:$Q$137,7,FALSE)</f>
        <v>18446885.62</v>
      </c>
      <c r="G91" s="9">
        <f t="shared" si="8"/>
        <v>5048.616013246302</v>
      </c>
      <c r="H91" s="9">
        <f>VLOOKUP(A91,'Source Data'!$A$2:$Q$137,8,FALSE)</f>
        <v>2977176.92</v>
      </c>
      <c r="I91" s="9">
        <f t="shared" si="9"/>
        <v>814.8054572574134</v>
      </c>
      <c r="J91" s="9">
        <f>VLOOKUP(A91,'Source Data'!$A$2:$Q$137,13,FALSE)</f>
        <v>3148117.82</v>
      </c>
      <c r="K91" s="9">
        <f t="shared" si="10"/>
        <v>861.5892332744912</v>
      </c>
      <c r="L91" s="9">
        <f>VLOOKUP(A91,'Source Data'!$A$2:$Q$137,16,FALSE)</f>
        <v>29612170.12</v>
      </c>
      <c r="M91" s="9">
        <f t="shared" si="11"/>
        <v>8104.3748703422425</v>
      </c>
      <c r="N91" s="46"/>
      <c r="O91" s="47"/>
      <c r="P91" s="47"/>
      <c r="Q91" s="47"/>
      <c r="R91" s="47"/>
      <c r="S91" s="47"/>
      <c r="T91" s="46"/>
      <c r="U91" s="46"/>
      <c r="V91" s="46"/>
      <c r="W91" s="46"/>
      <c r="X91" s="46"/>
      <c r="Y91" s="46"/>
      <c r="Z91" s="46"/>
      <c r="AA91" s="46"/>
      <c r="AB91" s="46"/>
      <c r="AC91" s="46"/>
      <c r="AD91" s="46"/>
      <c r="AE91" s="46"/>
    </row>
    <row r="92" spans="1:31" ht="12.75">
      <c r="A92" s="22">
        <v>85</v>
      </c>
      <c r="B92" s="8" t="s">
        <v>233</v>
      </c>
      <c r="C92" s="130">
        <f>VLOOKUP(A92,'Source Data'!$A$2:$Q$137,17,FALSE)</f>
        <v>5860.18</v>
      </c>
      <c r="D92" s="9">
        <f t="shared" si="6"/>
        <v>21875887.099999975</v>
      </c>
      <c r="E92" s="9">
        <f t="shared" si="7"/>
        <v>3732.9718711711885</v>
      </c>
      <c r="F92" s="9">
        <f>VLOOKUP(A92,'Source Data'!$A$2:$Q$137,7,FALSE)</f>
        <v>20429824.470000003</v>
      </c>
      <c r="G92" s="9">
        <f t="shared" si="8"/>
        <v>3486.2110839598786</v>
      </c>
      <c r="H92" s="9">
        <f>VLOOKUP(A92,'Source Data'!$A$2:$Q$137,8,FALSE)</f>
        <v>4797944.78</v>
      </c>
      <c r="I92" s="9">
        <f t="shared" si="9"/>
        <v>818.7367589391453</v>
      </c>
      <c r="J92" s="9">
        <f>VLOOKUP(A92,'Source Data'!$A$2:$Q$137,13,FALSE)</f>
        <v>3123618.19</v>
      </c>
      <c r="K92" s="9">
        <f t="shared" si="10"/>
        <v>533.0242739984095</v>
      </c>
      <c r="L92" s="9">
        <f>VLOOKUP(A92,'Source Data'!$A$2:$Q$137,16,FALSE)</f>
        <v>50227274.53999998</v>
      </c>
      <c r="M92" s="9">
        <f t="shared" si="11"/>
        <v>8570.943988068622</v>
      </c>
      <c r="N92" s="46"/>
      <c r="O92" s="47"/>
      <c r="P92" s="47"/>
      <c r="Q92" s="47"/>
      <c r="R92" s="47"/>
      <c r="S92" s="47"/>
      <c r="T92" s="46"/>
      <c r="U92" s="46"/>
      <c r="V92" s="46"/>
      <c r="W92" s="46"/>
      <c r="X92" s="46"/>
      <c r="Y92" s="46"/>
      <c r="Z92" s="46"/>
      <c r="AA92" s="46"/>
      <c r="AB92" s="46"/>
      <c r="AC92" s="46"/>
      <c r="AD92" s="46"/>
      <c r="AE92" s="46"/>
    </row>
    <row r="93" spans="1:31" ht="12.75">
      <c r="A93" s="22">
        <v>86</v>
      </c>
      <c r="B93" s="8" t="s">
        <v>234</v>
      </c>
      <c r="C93" s="130">
        <f>VLOOKUP(A93,'Source Data'!$A$2:$Q$137,17,FALSE)</f>
        <v>4966.97</v>
      </c>
      <c r="D93" s="9">
        <f t="shared" si="6"/>
        <v>7671720.830000013</v>
      </c>
      <c r="E93" s="9">
        <f t="shared" si="7"/>
        <v>1544.5474464311267</v>
      </c>
      <c r="F93" s="9">
        <f>VLOOKUP(A93,'Source Data'!$A$2:$Q$137,7,FALSE)</f>
        <v>22447861.459999997</v>
      </c>
      <c r="G93" s="9">
        <f t="shared" si="8"/>
        <v>4519.427630929922</v>
      </c>
      <c r="H93" s="9">
        <f>VLOOKUP(A93,'Source Data'!$A$2:$Q$137,8,FALSE)</f>
        <v>4354511.12</v>
      </c>
      <c r="I93" s="9">
        <f t="shared" si="9"/>
        <v>876.6936623333743</v>
      </c>
      <c r="J93" s="9">
        <f>VLOOKUP(A93,'Source Data'!$A$2:$Q$137,13,FALSE)</f>
        <v>3963006.7</v>
      </c>
      <c r="K93" s="9">
        <f t="shared" si="10"/>
        <v>797.872082980167</v>
      </c>
      <c r="L93" s="9">
        <f>VLOOKUP(A93,'Source Data'!$A$2:$Q$137,16,FALSE)</f>
        <v>38437100.110000014</v>
      </c>
      <c r="M93" s="9">
        <f t="shared" si="11"/>
        <v>7738.540822674591</v>
      </c>
      <c r="N93" s="46"/>
      <c r="O93" s="47"/>
      <c r="P93" s="47"/>
      <c r="Q93" s="47"/>
      <c r="R93" s="47"/>
      <c r="S93" s="47"/>
      <c r="T93" s="46"/>
      <c r="U93" s="46"/>
      <c r="V93" s="46"/>
      <c r="W93" s="46"/>
      <c r="X93" s="46"/>
      <c r="Y93" s="46"/>
      <c r="Z93" s="46"/>
      <c r="AA93" s="46"/>
      <c r="AB93" s="46"/>
      <c r="AC93" s="46"/>
      <c r="AD93" s="46"/>
      <c r="AE93" s="46"/>
    </row>
    <row r="94" spans="1:31" ht="12.75">
      <c r="A94" s="22">
        <v>87</v>
      </c>
      <c r="B94" s="8" t="s">
        <v>235</v>
      </c>
      <c r="C94" s="130">
        <f>VLOOKUP(A94,'Source Data'!$A$2:$Q$137,17,FALSE)</f>
        <v>2799.71</v>
      </c>
      <c r="D94" s="9">
        <f t="shared" si="6"/>
        <v>7790703.969999993</v>
      </c>
      <c r="E94" s="9">
        <f t="shared" si="7"/>
        <v>2782.682481399857</v>
      </c>
      <c r="F94" s="9">
        <f>VLOOKUP(A94,'Source Data'!$A$2:$Q$137,7,FALSE)</f>
        <v>11626841.4</v>
      </c>
      <c r="G94" s="9">
        <f t="shared" si="8"/>
        <v>4152.873476181462</v>
      </c>
      <c r="H94" s="9">
        <f>VLOOKUP(A94,'Source Data'!$A$2:$Q$137,8,FALSE)</f>
        <v>2747043.5</v>
      </c>
      <c r="I94" s="9">
        <f t="shared" si="9"/>
        <v>981.1885873894082</v>
      </c>
      <c r="J94" s="9">
        <f>VLOOKUP(A94,'Source Data'!$A$2:$Q$137,13,FALSE)</f>
        <v>2084884.24</v>
      </c>
      <c r="K94" s="9">
        <f t="shared" si="10"/>
        <v>744.6786417164635</v>
      </c>
      <c r="L94" s="9">
        <f>VLOOKUP(A94,'Source Data'!$A$2:$Q$137,16,FALSE)</f>
        <v>24249473.109999992</v>
      </c>
      <c r="M94" s="9">
        <f t="shared" si="11"/>
        <v>8661.423186687189</v>
      </c>
      <c r="N94" s="46"/>
      <c r="O94" s="47"/>
      <c r="P94" s="47"/>
      <c r="Q94" s="47"/>
      <c r="R94" s="47"/>
      <c r="S94" s="47"/>
      <c r="T94" s="46"/>
      <c r="U94" s="46"/>
      <c r="V94" s="46"/>
      <c r="W94" s="46"/>
      <c r="X94" s="46"/>
      <c r="Y94" s="46"/>
      <c r="Z94" s="46"/>
      <c r="AA94" s="46"/>
      <c r="AB94" s="46"/>
      <c r="AC94" s="46"/>
      <c r="AD94" s="46"/>
      <c r="AE94" s="46"/>
    </row>
    <row r="95" spans="1:31" ht="12.75">
      <c r="A95" s="22">
        <v>88</v>
      </c>
      <c r="B95" s="8" t="s">
        <v>236</v>
      </c>
      <c r="C95" s="130">
        <f>VLOOKUP(A95,'Source Data'!$A$2:$Q$137,17,FALSE)</f>
        <v>22780.43</v>
      </c>
      <c r="D95" s="9">
        <f t="shared" si="6"/>
        <v>82427582.46000008</v>
      </c>
      <c r="E95" s="9">
        <f t="shared" si="7"/>
        <v>3618.3505956647914</v>
      </c>
      <c r="F95" s="9">
        <f>VLOOKUP(A95,'Source Data'!$A$2:$Q$137,7,FALSE)</f>
        <v>73133185.99000002</v>
      </c>
      <c r="G95" s="9">
        <f t="shared" si="8"/>
        <v>3210.3514283970944</v>
      </c>
      <c r="H95" s="9">
        <f>VLOOKUP(A95,'Source Data'!$A$2:$Q$137,8,FALSE)</f>
        <v>18023877.46</v>
      </c>
      <c r="I95" s="9">
        <f t="shared" si="9"/>
        <v>791.2000546082757</v>
      </c>
      <c r="J95" s="9">
        <f>VLOOKUP(A95,'Source Data'!$A$2:$Q$137,13,FALSE)</f>
        <v>9327205.32</v>
      </c>
      <c r="K95" s="9">
        <f t="shared" si="10"/>
        <v>409.43938810637025</v>
      </c>
      <c r="L95" s="9">
        <f>VLOOKUP(A95,'Source Data'!$A$2:$Q$137,16,FALSE)</f>
        <v>182911851.2300001</v>
      </c>
      <c r="M95" s="9">
        <f t="shared" si="11"/>
        <v>8029.341466776532</v>
      </c>
      <c r="N95" s="46"/>
      <c r="O95" s="47"/>
      <c r="P95" s="47"/>
      <c r="Q95" s="47"/>
      <c r="R95" s="47"/>
      <c r="S95" s="47"/>
      <c r="T95" s="46"/>
      <c r="U95" s="46"/>
      <c r="V95" s="46"/>
      <c r="W95" s="46"/>
      <c r="X95" s="46"/>
      <c r="Y95" s="46"/>
      <c r="Z95" s="46"/>
      <c r="AA95" s="46"/>
      <c r="AB95" s="46"/>
      <c r="AC95" s="46"/>
      <c r="AD95" s="46"/>
      <c r="AE95" s="46"/>
    </row>
    <row r="96" spans="1:31" ht="12.75">
      <c r="A96" s="22">
        <v>89</v>
      </c>
      <c r="B96" s="8" t="s">
        <v>237</v>
      </c>
      <c r="C96" s="130">
        <f>VLOOKUP(A96,'Source Data'!$A$2:$Q$137,17,FALSE)</f>
        <v>25469.52</v>
      </c>
      <c r="D96" s="9">
        <f t="shared" si="6"/>
        <v>78372554.22000027</v>
      </c>
      <c r="E96" s="9">
        <f t="shared" si="7"/>
        <v>3077.111552161182</v>
      </c>
      <c r="F96" s="9">
        <f>VLOOKUP(A96,'Source Data'!$A$2:$Q$137,7,FALSE)</f>
        <v>85134680.41</v>
      </c>
      <c r="G96" s="9">
        <f t="shared" si="8"/>
        <v>3342.610320492887</v>
      </c>
      <c r="H96" s="9">
        <f>VLOOKUP(A96,'Source Data'!$A$2:$Q$137,8,FALSE)</f>
        <v>19385939.78</v>
      </c>
      <c r="I96" s="9">
        <f t="shared" si="9"/>
        <v>761.142721967277</v>
      </c>
      <c r="J96" s="9">
        <f>VLOOKUP(A96,'Source Data'!$A$2:$Q$137,13,FALSE)</f>
        <v>9702098.39</v>
      </c>
      <c r="K96" s="9">
        <f t="shared" si="10"/>
        <v>380.929769779721</v>
      </c>
      <c r="L96" s="9">
        <f>VLOOKUP(A96,'Source Data'!$A$2:$Q$137,16,FALSE)</f>
        <v>192595272.80000025</v>
      </c>
      <c r="M96" s="9">
        <f t="shared" si="11"/>
        <v>7561.794364401067</v>
      </c>
      <c r="N96" s="46"/>
      <c r="O96" s="47"/>
      <c r="P96" s="47"/>
      <c r="Q96" s="47"/>
      <c r="R96" s="47"/>
      <c r="S96" s="47"/>
      <c r="T96" s="46"/>
      <c r="U96" s="46"/>
      <c r="V96" s="46"/>
      <c r="W96" s="46"/>
      <c r="X96" s="46"/>
      <c r="Y96" s="46"/>
      <c r="Z96" s="46"/>
      <c r="AA96" s="46"/>
      <c r="AB96" s="46"/>
      <c r="AC96" s="46"/>
      <c r="AD96" s="46"/>
      <c r="AE96" s="46"/>
    </row>
    <row r="97" spans="1:31" ht="12.75">
      <c r="A97" s="22">
        <v>90</v>
      </c>
      <c r="B97" s="8" t="s">
        <v>238</v>
      </c>
      <c r="C97" s="130">
        <f>VLOOKUP(A97,'Source Data'!$A$2:$Q$137,17,FALSE)</f>
        <v>1055.19</v>
      </c>
      <c r="D97" s="9">
        <f t="shared" si="6"/>
        <v>9226955.520000007</v>
      </c>
      <c r="E97" s="9">
        <f t="shared" si="7"/>
        <v>8744.354590168601</v>
      </c>
      <c r="F97" s="9">
        <f>VLOOKUP(A97,'Source Data'!$A$2:$Q$137,7,FALSE)</f>
        <v>1762859.8</v>
      </c>
      <c r="G97" s="9">
        <f t="shared" si="8"/>
        <v>1670.6562799116746</v>
      </c>
      <c r="H97" s="9">
        <f>VLOOKUP(A97,'Source Data'!$A$2:$Q$137,8,FALSE)</f>
        <v>808239.4</v>
      </c>
      <c r="I97" s="9">
        <f t="shared" si="9"/>
        <v>765.9657502440318</v>
      </c>
      <c r="J97" s="9">
        <f>VLOOKUP(A97,'Source Data'!$A$2:$Q$137,13,FALSE)</f>
        <v>816345.58</v>
      </c>
      <c r="K97" s="9">
        <f t="shared" si="10"/>
        <v>773.6479496583553</v>
      </c>
      <c r="L97" s="9">
        <f>VLOOKUP(A97,'Source Data'!$A$2:$Q$137,16,FALSE)</f>
        <v>12614400.300000008</v>
      </c>
      <c r="M97" s="9">
        <f t="shared" si="11"/>
        <v>11954.624569982665</v>
      </c>
      <c r="N97" s="46"/>
      <c r="O97" s="47"/>
      <c r="P97" s="47"/>
      <c r="Q97" s="47"/>
      <c r="R97" s="47"/>
      <c r="S97" s="47"/>
      <c r="T97" s="46"/>
      <c r="U97" s="46"/>
      <c r="V97" s="46"/>
      <c r="W97" s="46"/>
      <c r="X97" s="46"/>
      <c r="Y97" s="46"/>
      <c r="Z97" s="46"/>
      <c r="AA97" s="46"/>
      <c r="AB97" s="46"/>
      <c r="AC97" s="46"/>
      <c r="AD97" s="46"/>
      <c r="AE97" s="46"/>
    </row>
    <row r="98" spans="1:31" ht="12.75">
      <c r="A98" s="22">
        <v>91</v>
      </c>
      <c r="B98" s="8" t="s">
        <v>239</v>
      </c>
      <c r="C98" s="130">
        <f>VLOOKUP(A98,'Source Data'!$A$2:$Q$137,17,FALSE)</f>
        <v>1368.25</v>
      </c>
      <c r="D98" s="9">
        <f t="shared" si="6"/>
        <v>7292902.419999999</v>
      </c>
      <c r="E98" s="9">
        <f t="shared" si="7"/>
        <v>5330.094953407637</v>
      </c>
      <c r="F98" s="9">
        <f>VLOOKUP(A98,'Source Data'!$A$2:$Q$137,7,FALSE)</f>
        <v>6591234.220000002</v>
      </c>
      <c r="G98" s="9">
        <f t="shared" si="8"/>
        <v>4817.273319934224</v>
      </c>
      <c r="H98" s="9">
        <f>VLOOKUP(A98,'Source Data'!$A$2:$Q$137,8,FALSE)</f>
        <v>1027281.98</v>
      </c>
      <c r="I98" s="9">
        <f t="shared" si="9"/>
        <v>750.7999122967294</v>
      </c>
      <c r="J98" s="9">
        <f>VLOOKUP(A98,'Source Data'!$A$2:$Q$137,13,FALSE)</f>
        <v>1721792.01</v>
      </c>
      <c r="K98" s="9">
        <f t="shared" si="10"/>
        <v>1258.3899214324867</v>
      </c>
      <c r="L98" s="9">
        <f>VLOOKUP(A98,'Source Data'!$A$2:$Q$137,16,FALSE)</f>
        <v>16633210.63</v>
      </c>
      <c r="M98" s="9">
        <f t="shared" si="11"/>
        <v>12156.558107071076</v>
      </c>
      <c r="N98" s="46"/>
      <c r="O98" s="47"/>
      <c r="P98" s="47"/>
      <c r="Q98" s="47"/>
      <c r="R98" s="47"/>
      <c r="S98" s="47"/>
      <c r="T98" s="46"/>
      <c r="U98" s="46"/>
      <c r="V98" s="46"/>
      <c r="W98" s="46"/>
      <c r="X98" s="46"/>
      <c r="Y98" s="46"/>
      <c r="Z98" s="46"/>
      <c r="AA98" s="46"/>
      <c r="AB98" s="46"/>
      <c r="AC98" s="46"/>
      <c r="AD98" s="46"/>
      <c r="AE98" s="46"/>
    </row>
    <row r="99" spans="1:31" ht="12.75">
      <c r="A99" s="22">
        <v>92</v>
      </c>
      <c r="B99" s="8" t="s">
        <v>240</v>
      </c>
      <c r="C99" s="130">
        <f>VLOOKUP(A99,'Source Data'!$A$2:$Q$137,17,FALSE)</f>
        <v>6815.41</v>
      </c>
      <c r="D99" s="9">
        <f t="shared" si="6"/>
        <v>10647593.559999943</v>
      </c>
      <c r="E99" s="9">
        <f t="shared" si="7"/>
        <v>1562.2821752469688</v>
      </c>
      <c r="F99" s="9">
        <f>VLOOKUP(A99,'Source Data'!$A$2:$Q$137,7,FALSE)</f>
        <v>30470361.64</v>
      </c>
      <c r="G99" s="9">
        <f t="shared" si="8"/>
        <v>4470.803904680716</v>
      </c>
      <c r="H99" s="9">
        <f>VLOOKUP(A99,'Source Data'!$A$2:$Q$137,8,FALSE)</f>
        <v>5787992.34</v>
      </c>
      <c r="I99" s="9">
        <f t="shared" si="9"/>
        <v>849.2507919552895</v>
      </c>
      <c r="J99" s="9">
        <f>VLOOKUP(A99,'Source Data'!$A$2:$Q$137,13,FALSE)</f>
        <v>5673337.669999999</v>
      </c>
      <c r="K99" s="9">
        <f t="shared" si="10"/>
        <v>832.4279346363608</v>
      </c>
      <c r="L99" s="9">
        <f>VLOOKUP(A99,'Source Data'!$A$2:$Q$137,16,FALSE)</f>
        <v>52579285.20999994</v>
      </c>
      <c r="M99" s="9">
        <f t="shared" si="11"/>
        <v>7714.764806519335</v>
      </c>
      <c r="N99" s="46"/>
      <c r="O99" s="47"/>
      <c r="P99" s="47"/>
      <c r="Q99" s="47"/>
      <c r="R99" s="47"/>
      <c r="S99" s="47"/>
      <c r="T99" s="46"/>
      <c r="U99" s="46"/>
      <c r="V99" s="46"/>
      <c r="W99" s="46"/>
      <c r="X99" s="46"/>
      <c r="Y99" s="46"/>
      <c r="Z99" s="46"/>
      <c r="AA99" s="46"/>
      <c r="AB99" s="46"/>
      <c r="AC99" s="46"/>
      <c r="AD99" s="46"/>
      <c r="AE99" s="46"/>
    </row>
    <row r="100" spans="1:31" ht="12.75">
      <c r="A100" s="22">
        <v>93</v>
      </c>
      <c r="B100" s="8" t="s">
        <v>241</v>
      </c>
      <c r="C100" s="130">
        <f>VLOOKUP(A100,'Source Data'!$A$2:$Q$137,17,FALSE)</f>
        <v>5181.48</v>
      </c>
      <c r="D100" s="9">
        <f t="shared" si="6"/>
        <v>13918487.419999968</v>
      </c>
      <c r="E100" s="9">
        <f t="shared" si="7"/>
        <v>2686.1991979125596</v>
      </c>
      <c r="F100" s="9">
        <f>VLOOKUP(A100,'Source Data'!$A$2:$Q$137,7,FALSE)</f>
        <v>17289605.52</v>
      </c>
      <c r="G100" s="9">
        <f t="shared" si="8"/>
        <v>3336.8083095949423</v>
      </c>
      <c r="H100" s="9">
        <f>VLOOKUP(A100,'Source Data'!$A$2:$Q$137,8,FALSE)</f>
        <v>4299750.42</v>
      </c>
      <c r="I100" s="9">
        <f t="shared" si="9"/>
        <v>829.8305542045903</v>
      </c>
      <c r="J100" s="9">
        <f>VLOOKUP(A100,'Source Data'!$A$2:$Q$137,13,FALSE)</f>
        <v>2618213.41</v>
      </c>
      <c r="K100" s="9">
        <f t="shared" si="10"/>
        <v>505.30223218076696</v>
      </c>
      <c r="L100" s="9">
        <f>VLOOKUP(A100,'Source Data'!$A$2:$Q$137,16,FALSE)</f>
        <v>38126056.76999997</v>
      </c>
      <c r="M100" s="9">
        <f t="shared" si="11"/>
        <v>7358.14029389286</v>
      </c>
      <c r="N100" s="46"/>
      <c r="O100" s="47"/>
      <c r="P100" s="47"/>
      <c r="Q100" s="47"/>
      <c r="R100" s="47"/>
      <c r="S100" s="47"/>
      <c r="T100" s="46"/>
      <c r="U100" s="46"/>
      <c r="V100" s="46"/>
      <c r="W100" s="46"/>
      <c r="X100" s="46"/>
      <c r="Y100" s="46"/>
      <c r="Z100" s="46"/>
      <c r="AA100" s="46"/>
      <c r="AB100" s="46"/>
      <c r="AC100" s="46"/>
      <c r="AD100" s="46"/>
      <c r="AE100" s="46"/>
    </row>
    <row r="101" spans="1:31" ht="12.75">
      <c r="A101" s="22">
        <v>94</v>
      </c>
      <c r="B101" s="8" t="s">
        <v>242</v>
      </c>
      <c r="C101" s="130">
        <f>VLOOKUP(A101,'Source Data'!$A$2:$Q$137,17,FALSE)</f>
        <v>7200.15</v>
      </c>
      <c r="D101" s="9">
        <f t="shared" si="6"/>
        <v>19033183.679999985</v>
      </c>
      <c r="E101" s="9">
        <f t="shared" si="7"/>
        <v>2643.4426616112146</v>
      </c>
      <c r="F101" s="9">
        <f>VLOOKUP(A101,'Source Data'!$A$2:$Q$137,7,FALSE)</f>
        <v>26822039.440000005</v>
      </c>
      <c r="G101" s="9">
        <f t="shared" si="8"/>
        <v>3725.2056471045753</v>
      </c>
      <c r="H101" s="9">
        <f>VLOOKUP(A101,'Source Data'!$A$2:$Q$137,8,FALSE)</f>
        <v>5211272.6</v>
      </c>
      <c r="I101" s="9">
        <f t="shared" si="9"/>
        <v>723.7727825114754</v>
      </c>
      <c r="J101" s="9">
        <f>VLOOKUP(A101,'Source Data'!$A$2:$Q$137,13,FALSE)</f>
        <v>5358908.55</v>
      </c>
      <c r="K101" s="9">
        <f t="shared" si="10"/>
        <v>744.2773483885752</v>
      </c>
      <c r="L101" s="9">
        <f>VLOOKUP(A101,'Source Data'!$A$2:$Q$137,16,FALSE)</f>
        <v>56425404.26999999</v>
      </c>
      <c r="M101" s="9">
        <f t="shared" si="11"/>
        <v>7836.6984396158405</v>
      </c>
      <c r="N101" s="46"/>
      <c r="O101" s="47"/>
      <c r="P101" s="47"/>
      <c r="Q101" s="47"/>
      <c r="R101" s="47"/>
      <c r="S101" s="47"/>
      <c r="T101" s="46"/>
      <c r="U101" s="46"/>
      <c r="V101" s="46"/>
      <c r="W101" s="46"/>
      <c r="X101" s="46"/>
      <c r="Y101" s="46"/>
      <c r="Z101" s="46"/>
      <c r="AA101" s="46"/>
      <c r="AB101" s="46"/>
      <c r="AC101" s="46"/>
      <c r="AD101" s="46"/>
      <c r="AE101" s="46"/>
    </row>
    <row r="102" spans="1:31" ht="12.75">
      <c r="A102" s="22">
        <v>95</v>
      </c>
      <c r="B102" s="8" t="s">
        <v>243</v>
      </c>
      <c r="C102" s="130">
        <f>VLOOKUP(A102,'Source Data'!$A$2:$Q$137,17,FALSE)</f>
        <v>1813.61</v>
      </c>
      <c r="D102" s="9">
        <f t="shared" si="6"/>
        <v>5195069.099999999</v>
      </c>
      <c r="E102" s="9">
        <f t="shared" si="7"/>
        <v>2864.4907670337057</v>
      </c>
      <c r="F102" s="9">
        <f>VLOOKUP(A102,'Source Data'!$A$2:$Q$137,7,FALSE)</f>
        <v>6602105.929999999</v>
      </c>
      <c r="G102" s="9">
        <f t="shared" si="8"/>
        <v>3640.3118255854342</v>
      </c>
      <c r="H102" s="9">
        <f>VLOOKUP(A102,'Source Data'!$A$2:$Q$137,8,FALSE)</f>
        <v>1787401.53</v>
      </c>
      <c r="I102" s="9">
        <f t="shared" si="9"/>
        <v>985.5490044717443</v>
      </c>
      <c r="J102" s="9">
        <f>VLOOKUP(A102,'Source Data'!$A$2:$Q$137,13,FALSE)</f>
        <v>1841418.61</v>
      </c>
      <c r="K102" s="9">
        <f t="shared" si="10"/>
        <v>1015.3332910603714</v>
      </c>
      <c r="L102" s="9">
        <f>VLOOKUP(A102,'Source Data'!$A$2:$Q$137,16,FALSE)</f>
        <v>15425995.169999996</v>
      </c>
      <c r="M102" s="9">
        <f t="shared" si="11"/>
        <v>8505.684888151254</v>
      </c>
      <c r="N102" s="46"/>
      <c r="O102" s="47"/>
      <c r="P102" s="47"/>
      <c r="Q102" s="47"/>
      <c r="R102" s="47"/>
      <c r="S102" s="47"/>
      <c r="T102" s="46"/>
      <c r="U102" s="46"/>
      <c r="V102" s="46"/>
      <c r="W102" s="46"/>
      <c r="X102" s="46"/>
      <c r="Y102" s="46"/>
      <c r="Z102" s="46"/>
      <c r="AA102" s="46"/>
      <c r="AB102" s="46"/>
      <c r="AC102" s="46"/>
      <c r="AD102" s="46"/>
      <c r="AE102" s="46"/>
    </row>
    <row r="103" spans="1:31" ht="12.75">
      <c r="A103" s="22">
        <v>96</v>
      </c>
      <c r="B103" s="8" t="s">
        <v>244</v>
      </c>
      <c r="C103" s="130">
        <f>VLOOKUP(A103,'Source Data'!$A$2:$Q$137,17,FALSE)</f>
        <v>6630.45</v>
      </c>
      <c r="D103" s="9">
        <f t="shared" si="6"/>
        <v>10818445.970000051</v>
      </c>
      <c r="E103" s="9">
        <f t="shared" si="7"/>
        <v>1631.630729437678</v>
      </c>
      <c r="F103" s="9">
        <f>VLOOKUP(A103,'Source Data'!$A$2:$Q$137,7,FALSE)</f>
        <v>30369300.339999996</v>
      </c>
      <c r="G103" s="9">
        <f t="shared" si="8"/>
        <v>4580.277408019063</v>
      </c>
      <c r="H103" s="9">
        <f>VLOOKUP(A103,'Source Data'!$A$2:$Q$137,8,FALSE)</f>
        <v>5524586.659999999</v>
      </c>
      <c r="I103" s="9">
        <f t="shared" si="9"/>
        <v>833.2144364258835</v>
      </c>
      <c r="J103" s="9">
        <f>VLOOKUP(A103,'Source Data'!$A$2:$Q$137,13,FALSE)</f>
        <v>8410322.77</v>
      </c>
      <c r="K103" s="9">
        <f t="shared" si="10"/>
        <v>1268.4392115165638</v>
      </c>
      <c r="L103" s="9">
        <f>VLOOKUP(A103,'Source Data'!$A$2:$Q$137,16,FALSE)</f>
        <v>55122655.74000004</v>
      </c>
      <c r="M103" s="9">
        <f t="shared" si="11"/>
        <v>8313.561785399188</v>
      </c>
      <c r="N103" s="46"/>
      <c r="O103" s="47"/>
      <c r="P103" s="47"/>
      <c r="Q103" s="47"/>
      <c r="R103" s="47"/>
      <c r="S103" s="47"/>
      <c r="T103" s="46"/>
      <c r="U103" s="46"/>
      <c r="V103" s="46"/>
      <c r="W103" s="46"/>
      <c r="X103" s="46"/>
      <c r="Y103" s="46"/>
      <c r="Z103" s="46"/>
      <c r="AA103" s="46"/>
      <c r="AB103" s="46"/>
      <c r="AC103" s="46"/>
      <c r="AD103" s="46"/>
      <c r="AE103" s="46"/>
    </row>
    <row r="104" spans="1:31" ht="12.75">
      <c r="A104" s="22">
        <v>97</v>
      </c>
      <c r="B104" s="8" t="s">
        <v>245</v>
      </c>
      <c r="C104" s="130">
        <f>VLOOKUP(A104,'Source Data'!$A$2:$Q$137,17,FALSE)</f>
        <v>4177.28</v>
      </c>
      <c r="D104" s="9">
        <f t="shared" si="6"/>
        <v>9162352.429999985</v>
      </c>
      <c r="E104" s="9">
        <f t="shared" si="7"/>
        <v>2193.3776117473535</v>
      </c>
      <c r="F104" s="9">
        <f>VLOOKUP(A104,'Source Data'!$A$2:$Q$137,7,FALSE)</f>
        <v>16599714.120000001</v>
      </c>
      <c r="G104" s="9">
        <f t="shared" si="8"/>
        <v>3973.8093017465917</v>
      </c>
      <c r="H104" s="9">
        <f>VLOOKUP(A104,'Source Data'!$A$2:$Q$137,8,FALSE)</f>
        <v>3600339.16</v>
      </c>
      <c r="I104" s="9">
        <f t="shared" si="9"/>
        <v>861.8860023747511</v>
      </c>
      <c r="J104" s="9">
        <f>VLOOKUP(A104,'Source Data'!$A$2:$Q$137,13,FALSE)</f>
        <v>3711467.14</v>
      </c>
      <c r="K104" s="9">
        <f t="shared" si="10"/>
        <v>888.4889545350085</v>
      </c>
      <c r="L104" s="9">
        <f>VLOOKUP(A104,'Source Data'!$A$2:$Q$137,16,FALSE)</f>
        <v>33073872.849999987</v>
      </c>
      <c r="M104" s="9">
        <f t="shared" si="11"/>
        <v>7917.561870403705</v>
      </c>
      <c r="N104" s="46"/>
      <c r="O104" s="47"/>
      <c r="P104" s="47"/>
      <c r="Q104" s="47"/>
      <c r="R104" s="47"/>
      <c r="S104" s="47"/>
      <c r="T104" s="46"/>
      <c r="U104" s="46"/>
      <c r="V104" s="46"/>
      <c r="W104" s="46"/>
      <c r="X104" s="46"/>
      <c r="Y104" s="46"/>
      <c r="Z104" s="46"/>
      <c r="AA104" s="46"/>
      <c r="AB104" s="46"/>
      <c r="AC104" s="46"/>
      <c r="AD104" s="46"/>
      <c r="AE104" s="46"/>
    </row>
    <row r="105" spans="1:31" ht="12.75">
      <c r="A105" s="22">
        <v>98</v>
      </c>
      <c r="B105" s="8" t="s">
        <v>246</v>
      </c>
      <c r="C105" s="130">
        <f>VLOOKUP(A105,'Source Data'!$A$2:$Q$137,17,FALSE)</f>
        <v>12618.35</v>
      </c>
      <c r="D105" s="9">
        <f t="shared" si="6"/>
        <v>39160562.84000005</v>
      </c>
      <c r="E105" s="9">
        <f t="shared" si="7"/>
        <v>3103.461454152092</v>
      </c>
      <c r="F105" s="9">
        <f>VLOOKUP(A105,'Source Data'!$A$2:$Q$137,7,FALSE)</f>
        <v>39657109.56999999</v>
      </c>
      <c r="G105" s="9">
        <f t="shared" si="8"/>
        <v>3142.81261575404</v>
      </c>
      <c r="H105" s="9">
        <f>VLOOKUP(A105,'Source Data'!$A$2:$Q$137,8,FALSE)</f>
        <v>9306537.08</v>
      </c>
      <c r="I105" s="9">
        <f t="shared" si="9"/>
        <v>737.5399382645115</v>
      </c>
      <c r="J105" s="9">
        <f>VLOOKUP(A105,'Source Data'!$A$2:$Q$137,13,FALSE)</f>
        <v>12537761.910000002</v>
      </c>
      <c r="K105" s="9">
        <f t="shared" si="10"/>
        <v>993.613420930629</v>
      </c>
      <c r="L105" s="9">
        <f>VLOOKUP(A105,'Source Data'!$A$2:$Q$137,16,FALSE)</f>
        <v>100661971.40000004</v>
      </c>
      <c r="M105" s="9">
        <f t="shared" si="11"/>
        <v>7977.427429101272</v>
      </c>
      <c r="N105" s="46"/>
      <c r="O105" s="47"/>
      <c r="P105" s="47"/>
      <c r="Q105" s="47"/>
      <c r="R105" s="47"/>
      <c r="S105" s="47"/>
      <c r="T105" s="46"/>
      <c r="U105" s="46"/>
      <c r="V105" s="46"/>
      <c r="W105" s="46"/>
      <c r="X105" s="46"/>
      <c r="Y105" s="46"/>
      <c r="Z105" s="46"/>
      <c r="AA105" s="46"/>
      <c r="AB105" s="46"/>
      <c r="AC105" s="46"/>
      <c r="AD105" s="46"/>
      <c r="AE105" s="46"/>
    </row>
    <row r="106" spans="2:31" ht="12.75">
      <c r="B106" s="7" t="s">
        <v>247</v>
      </c>
      <c r="N106" s="46"/>
      <c r="O106" s="47"/>
      <c r="P106" s="47"/>
      <c r="Q106" s="47"/>
      <c r="R106" s="47"/>
      <c r="S106" s="47"/>
      <c r="T106" s="46"/>
      <c r="U106" s="46"/>
      <c r="V106" s="46"/>
      <c r="W106" s="46"/>
      <c r="X106" s="46"/>
      <c r="Y106" s="46"/>
      <c r="Z106" s="46"/>
      <c r="AA106" s="46"/>
      <c r="AB106" s="46"/>
      <c r="AC106" s="46"/>
      <c r="AD106" s="46"/>
      <c r="AE106" s="46"/>
    </row>
    <row r="107" spans="1:31" ht="12.75">
      <c r="A107" s="22">
        <v>101</v>
      </c>
      <c r="B107" s="8" t="s">
        <v>248</v>
      </c>
      <c r="C107" s="130">
        <f>VLOOKUP(A107,'Source Data'!$A$2:$Q$137,17,FALSE)</f>
        <v>10479.04</v>
      </c>
      <c r="D107" s="9">
        <f>SUM(L107-J107-H107-F107)</f>
        <v>133006806.03</v>
      </c>
      <c r="E107" s="9">
        <f>SUM(D107/C107)</f>
        <v>12692.651810662044</v>
      </c>
      <c r="F107" s="9">
        <f>VLOOKUP(A107,'Source Data'!$A$2:$Q$137,7,FALSE)</f>
        <v>14079829.160000002</v>
      </c>
      <c r="G107" s="9">
        <f>SUM(F107/C107)</f>
        <v>1343.6182283873334</v>
      </c>
      <c r="H107" s="9">
        <f>VLOOKUP(A107,'Source Data'!$A$2:$Q$137,8,FALSE)</f>
        <v>9679464.01</v>
      </c>
      <c r="I107" s="9">
        <f>SUM(H107/C107)</f>
        <v>923.6975915732738</v>
      </c>
      <c r="J107" s="9">
        <f>VLOOKUP(A107,'Source Data'!$A$2:$Q$137,13,FALSE)</f>
        <v>10487742.36</v>
      </c>
      <c r="K107" s="9">
        <f>SUM(J107/C107)</f>
        <v>1000.8304539347114</v>
      </c>
      <c r="L107" s="9">
        <f>VLOOKUP(A107,'Source Data'!$A$2:$Q$137,16,FALSE)</f>
        <v>167253841.55999997</v>
      </c>
      <c r="M107" s="9">
        <f>SUM(L107/C107)</f>
        <v>15960.79808455736</v>
      </c>
      <c r="N107" s="46"/>
      <c r="O107" s="47"/>
      <c r="P107" s="47"/>
      <c r="Q107" s="47"/>
      <c r="R107" s="47"/>
      <c r="S107" s="47"/>
      <c r="T107" s="46"/>
      <c r="U107" s="46"/>
      <c r="V107" s="46"/>
      <c r="W107" s="46"/>
      <c r="X107" s="46"/>
      <c r="Y107" s="46"/>
      <c r="Z107" s="46"/>
      <c r="AA107" s="46"/>
      <c r="AB107" s="46"/>
      <c r="AC107" s="46"/>
      <c r="AD107" s="46"/>
      <c r="AE107" s="46"/>
    </row>
    <row r="108" spans="1:31" ht="12.75">
      <c r="A108" s="22">
        <v>102</v>
      </c>
      <c r="B108" s="8" t="s">
        <v>249</v>
      </c>
      <c r="C108" s="130">
        <f>VLOOKUP(A108,'Source Data'!$A$2:$Q$137,17,FALSE)</f>
        <v>2288.47</v>
      </c>
      <c r="D108" s="9">
        <f aca="true" t="shared" si="12" ref="D108:D145">SUM(L108-J108-H108-F108)</f>
        <v>6983746.790000014</v>
      </c>
      <c r="E108" s="9">
        <f aca="true" t="shared" si="13" ref="E108:E145">SUM(D108/C108)</f>
        <v>3051.7100027529373</v>
      </c>
      <c r="F108" s="9">
        <f>VLOOKUP(A108,'Source Data'!$A$2:$Q$137,7,FALSE)</f>
        <v>9026941.580000002</v>
      </c>
      <c r="G108" s="9">
        <f aca="true" t="shared" si="14" ref="G108:G145">SUM(F108/C108)</f>
        <v>3944.5313156825314</v>
      </c>
      <c r="H108" s="9">
        <f>VLOOKUP(A108,'Source Data'!$A$2:$Q$137,8,FALSE)</f>
        <v>1971047.54</v>
      </c>
      <c r="I108" s="9">
        <f aca="true" t="shared" si="15" ref="I108:I145">SUM(H108/C108)</f>
        <v>861.2949000860838</v>
      </c>
      <c r="J108" s="9">
        <f>VLOOKUP(A108,'Source Data'!$A$2:$Q$137,13,FALSE)</f>
        <v>2355508.29</v>
      </c>
      <c r="K108" s="9">
        <f aca="true" t="shared" si="16" ref="K108:K145">SUM(J108/C108)</f>
        <v>1029.2939343753687</v>
      </c>
      <c r="L108" s="9">
        <f>VLOOKUP(A108,'Source Data'!$A$2:$Q$137,16,FALSE)</f>
        <v>20337244.200000014</v>
      </c>
      <c r="M108" s="9">
        <f aca="true" t="shared" si="17" ref="M108:M145">SUM(L108/C108)</f>
        <v>8886.83015289692</v>
      </c>
      <c r="N108" s="46"/>
      <c r="O108" s="47"/>
      <c r="P108" s="47"/>
      <c r="Q108" s="47"/>
      <c r="R108" s="47"/>
      <c r="S108" s="47"/>
      <c r="T108" s="46"/>
      <c r="U108" s="46"/>
      <c r="V108" s="46"/>
      <c r="W108" s="46"/>
      <c r="X108" s="46"/>
      <c r="Y108" s="46"/>
      <c r="Z108" s="46"/>
      <c r="AA108" s="46"/>
      <c r="AB108" s="46"/>
      <c r="AC108" s="46"/>
      <c r="AD108" s="46"/>
      <c r="AE108" s="46"/>
    </row>
    <row r="109" spans="1:31" ht="12.75">
      <c r="A109" s="22">
        <v>103</v>
      </c>
      <c r="B109" s="8" t="s">
        <v>250</v>
      </c>
      <c r="C109" s="130">
        <f>VLOOKUP(A109,'Source Data'!$A$2:$Q$137,17,FALSE)</f>
        <v>1122.67</v>
      </c>
      <c r="D109" s="9">
        <f t="shared" si="12"/>
        <v>2596500.9400000013</v>
      </c>
      <c r="E109" s="9">
        <f t="shared" si="13"/>
        <v>2312.790882449875</v>
      </c>
      <c r="F109" s="9">
        <f>VLOOKUP(A109,'Source Data'!$A$2:$Q$137,7,FALSE)</f>
        <v>5238808.72</v>
      </c>
      <c r="G109" s="9">
        <f t="shared" si="14"/>
        <v>4666.383460856707</v>
      </c>
      <c r="H109" s="9">
        <f>VLOOKUP(A109,'Source Data'!$A$2:$Q$137,8,FALSE)</f>
        <v>890726.96</v>
      </c>
      <c r="I109" s="9">
        <f t="shared" si="15"/>
        <v>793.4005184070118</v>
      </c>
      <c r="J109" s="9">
        <f>VLOOKUP(A109,'Source Data'!$A$2:$Q$137,13,FALSE)</f>
        <v>596282.08</v>
      </c>
      <c r="K109" s="9">
        <f t="shared" si="16"/>
        <v>531.128541779864</v>
      </c>
      <c r="L109" s="9">
        <f>VLOOKUP(A109,'Source Data'!$A$2:$Q$137,16,FALSE)</f>
        <v>9322318.700000001</v>
      </c>
      <c r="M109" s="9">
        <f t="shared" si="17"/>
        <v>8303.703403493459</v>
      </c>
      <c r="N109" s="46"/>
      <c r="O109" s="47"/>
      <c r="P109" s="47"/>
      <c r="Q109" s="47"/>
      <c r="R109" s="47"/>
      <c r="S109" s="47"/>
      <c r="T109" s="46"/>
      <c r="U109" s="46"/>
      <c r="V109" s="46"/>
      <c r="W109" s="46"/>
      <c r="X109" s="46"/>
      <c r="Y109" s="46"/>
      <c r="Z109" s="46"/>
      <c r="AA109" s="46"/>
      <c r="AB109" s="46"/>
      <c r="AC109" s="46"/>
      <c r="AD109" s="46"/>
      <c r="AE109" s="46"/>
    </row>
    <row r="110" spans="1:31" ht="12.75">
      <c r="A110" s="22">
        <v>104</v>
      </c>
      <c r="B110" s="8" t="s">
        <v>251</v>
      </c>
      <c r="C110" s="130">
        <f>VLOOKUP(A110,'Source Data'!$A$2:$Q$137,17,FALSE)</f>
        <v>4221.25</v>
      </c>
      <c r="D110" s="9">
        <f t="shared" si="12"/>
        <v>32129515.570000038</v>
      </c>
      <c r="E110" s="9">
        <f t="shared" si="13"/>
        <v>7611.374727864978</v>
      </c>
      <c r="F110" s="9">
        <f>VLOOKUP(A110,'Source Data'!$A$2:$Q$137,7,FALSE)</f>
        <v>10898557.700000001</v>
      </c>
      <c r="G110" s="9">
        <f t="shared" si="14"/>
        <v>2581.8318507551085</v>
      </c>
      <c r="H110" s="9">
        <f>VLOOKUP(A110,'Source Data'!$A$2:$Q$137,8,FALSE)</f>
        <v>4636632.42</v>
      </c>
      <c r="I110" s="9">
        <f t="shared" si="15"/>
        <v>1098.4027053597868</v>
      </c>
      <c r="J110" s="9">
        <f>VLOOKUP(A110,'Source Data'!$A$2:$Q$137,13,FALSE)</f>
        <v>4285481.53</v>
      </c>
      <c r="K110" s="9">
        <f t="shared" si="16"/>
        <v>1015.2162345276873</v>
      </c>
      <c r="L110" s="9">
        <f>VLOOKUP(A110,'Source Data'!$A$2:$Q$137,16,FALSE)</f>
        <v>51950187.22000004</v>
      </c>
      <c r="M110" s="9">
        <f t="shared" si="17"/>
        <v>12306.825518507561</v>
      </c>
      <c r="N110" s="46"/>
      <c r="O110" s="47"/>
      <c r="P110" s="47"/>
      <c r="Q110" s="47"/>
      <c r="R110" s="47"/>
      <c r="S110" s="47"/>
      <c r="T110" s="46"/>
      <c r="U110" s="46"/>
      <c r="V110" s="46"/>
      <c r="W110" s="46"/>
      <c r="X110" s="46"/>
      <c r="Y110" s="46"/>
      <c r="Z110" s="46"/>
      <c r="AA110" s="46"/>
      <c r="AB110" s="46"/>
      <c r="AC110" s="46"/>
      <c r="AD110" s="46"/>
      <c r="AE110" s="46"/>
    </row>
    <row r="111" spans="1:31" ht="12.75">
      <c r="A111" s="22">
        <v>106</v>
      </c>
      <c r="B111" s="8" t="s">
        <v>280</v>
      </c>
      <c r="C111" s="130">
        <f>VLOOKUP(A111,'Source Data'!$A$2:$Q$137,17,FALSE)</f>
        <v>2859.97</v>
      </c>
      <c r="D111" s="9">
        <f t="shared" si="12"/>
        <v>15024468.270000022</v>
      </c>
      <c r="E111" s="9">
        <f t="shared" si="13"/>
        <v>5253.365689150593</v>
      </c>
      <c r="F111" s="9">
        <f>VLOOKUP(A111,'Source Data'!$A$2:$Q$137,7,FALSE)</f>
        <v>8384358.97</v>
      </c>
      <c r="G111" s="9">
        <f t="shared" si="14"/>
        <v>2931.6247967636027</v>
      </c>
      <c r="H111" s="9">
        <f>VLOOKUP(A111,'Source Data'!$A$2:$Q$137,8,FALSE)</f>
        <v>2297867.6</v>
      </c>
      <c r="I111" s="9">
        <f t="shared" si="15"/>
        <v>803.4586376780177</v>
      </c>
      <c r="J111" s="9">
        <f>VLOOKUP(A111,'Source Data'!$A$2:$Q$137,13,FALSE)</f>
        <v>1109455.46</v>
      </c>
      <c r="K111" s="9">
        <f t="shared" si="16"/>
        <v>387.9255586597062</v>
      </c>
      <c r="L111" s="9">
        <f>VLOOKUP(A111,'Source Data'!$A$2:$Q$137,16,FALSE)</f>
        <v>26816150.300000023</v>
      </c>
      <c r="M111" s="9">
        <f t="shared" si="17"/>
        <v>9376.37468225192</v>
      </c>
      <c r="N111" s="46"/>
      <c r="O111" s="47"/>
      <c r="P111" s="47"/>
      <c r="Q111" s="47"/>
      <c r="R111" s="47"/>
      <c r="S111" s="47"/>
      <c r="T111" s="46"/>
      <c r="U111" s="46"/>
      <c r="V111" s="46"/>
      <c r="W111" s="46"/>
      <c r="X111" s="46"/>
      <c r="Y111" s="46"/>
      <c r="Z111" s="46"/>
      <c r="AA111" s="46"/>
      <c r="AB111" s="46"/>
      <c r="AC111" s="46"/>
      <c r="AD111" s="46"/>
      <c r="AE111" s="46"/>
    </row>
    <row r="112" spans="1:31" ht="12.75">
      <c r="A112" s="22">
        <v>107</v>
      </c>
      <c r="B112" s="8" t="s">
        <v>253</v>
      </c>
      <c r="C112" s="130">
        <f>VLOOKUP(A112,'Source Data'!$A$2:$Q$137,17,FALSE)</f>
        <v>828.99</v>
      </c>
      <c r="D112" s="9">
        <f t="shared" si="12"/>
        <v>3511853.9899999965</v>
      </c>
      <c r="E112" s="9">
        <f t="shared" si="13"/>
        <v>4236.304406567023</v>
      </c>
      <c r="F112" s="9">
        <f>VLOOKUP(A112,'Source Data'!$A$2:$Q$137,7,FALSE)</f>
        <v>3737092.24</v>
      </c>
      <c r="G112" s="9">
        <f t="shared" si="14"/>
        <v>4508.0064174477375</v>
      </c>
      <c r="H112" s="9">
        <f>VLOOKUP(A112,'Source Data'!$A$2:$Q$137,8,FALSE)</f>
        <v>703745.28</v>
      </c>
      <c r="I112" s="9">
        <f t="shared" si="15"/>
        <v>848.9189013136468</v>
      </c>
      <c r="J112" s="9">
        <f>VLOOKUP(A112,'Source Data'!$A$2:$Q$137,13,FALSE)</f>
        <v>1148122.36</v>
      </c>
      <c r="K112" s="9">
        <f t="shared" si="16"/>
        <v>1384.9652709924126</v>
      </c>
      <c r="L112" s="9">
        <f>VLOOKUP(A112,'Source Data'!$A$2:$Q$137,16,FALSE)</f>
        <v>9100813.869999997</v>
      </c>
      <c r="M112" s="9">
        <f t="shared" si="17"/>
        <v>10978.19499632082</v>
      </c>
      <c r="N112" s="46"/>
      <c r="O112" s="47"/>
      <c r="P112" s="47"/>
      <c r="Q112" s="47"/>
      <c r="R112" s="47"/>
      <c r="S112" s="47"/>
      <c r="T112" s="46"/>
      <c r="U112" s="46"/>
      <c r="V112" s="46"/>
      <c r="W112" s="46"/>
      <c r="X112" s="46"/>
      <c r="Y112" s="46"/>
      <c r="Z112" s="46"/>
      <c r="AA112" s="46"/>
      <c r="AB112" s="46"/>
      <c r="AC112" s="46"/>
      <c r="AD112" s="46"/>
      <c r="AE112" s="46"/>
    </row>
    <row r="113" spans="1:31" ht="12.75">
      <c r="A113" s="22">
        <v>108</v>
      </c>
      <c r="B113" s="8" t="s">
        <v>254</v>
      </c>
      <c r="C113" s="130">
        <f>VLOOKUP(A113,'Source Data'!$A$2:$Q$137,17,FALSE)</f>
        <v>7008.59</v>
      </c>
      <c r="D113" s="9">
        <f t="shared" si="12"/>
        <v>16051864.699999936</v>
      </c>
      <c r="E113" s="9">
        <f t="shared" si="13"/>
        <v>2290.312987348373</v>
      </c>
      <c r="F113" s="9">
        <f>VLOOKUP(A113,'Source Data'!$A$2:$Q$137,7,FALSE)</f>
        <v>27787636.119999997</v>
      </c>
      <c r="G113" s="9">
        <f t="shared" si="14"/>
        <v>3964.7969306237055</v>
      </c>
      <c r="H113" s="9">
        <f>VLOOKUP(A113,'Source Data'!$A$2:$Q$137,8,FALSE)</f>
        <v>7111259.06</v>
      </c>
      <c r="I113" s="9">
        <f t="shared" si="15"/>
        <v>1014.6490321163029</v>
      </c>
      <c r="J113" s="9">
        <f>VLOOKUP(A113,'Source Data'!$A$2:$Q$137,13,FALSE)</f>
        <v>8358268.300000001</v>
      </c>
      <c r="K113" s="9">
        <f t="shared" si="16"/>
        <v>1192.5748688395242</v>
      </c>
      <c r="L113" s="9">
        <f>VLOOKUP(A113,'Source Data'!$A$2:$Q$137,16,FALSE)</f>
        <v>59309028.17999993</v>
      </c>
      <c r="M113" s="9">
        <f t="shared" si="17"/>
        <v>8462.333818927906</v>
      </c>
      <c r="N113" s="46"/>
      <c r="O113" s="47"/>
      <c r="P113" s="47"/>
      <c r="Q113" s="47"/>
      <c r="R113" s="47"/>
      <c r="S113" s="47"/>
      <c r="T113" s="46"/>
      <c r="U113" s="46"/>
      <c r="V113" s="46"/>
      <c r="W113" s="46"/>
      <c r="X113" s="46"/>
      <c r="Y113" s="46"/>
      <c r="Z113" s="46"/>
      <c r="AA113" s="46"/>
      <c r="AB113" s="46"/>
      <c r="AC113" s="46"/>
      <c r="AD113" s="46"/>
      <c r="AE113" s="46"/>
    </row>
    <row r="114" spans="1:31" ht="12.75">
      <c r="A114" s="22">
        <v>109</v>
      </c>
      <c r="B114" s="8" t="s">
        <v>255</v>
      </c>
      <c r="C114" s="130">
        <f>VLOOKUP(A114,'Source Data'!$A$2:$Q$137,17,FALSE)</f>
        <v>1871.55</v>
      </c>
      <c r="D114" s="9">
        <f t="shared" si="12"/>
        <v>24456831.22999997</v>
      </c>
      <c r="E114" s="9">
        <f t="shared" si="13"/>
        <v>13067.687868344405</v>
      </c>
      <c r="F114" s="9">
        <f>VLOOKUP(A114,'Source Data'!$A$2:$Q$137,7,FALSE)</f>
        <v>2162302.03</v>
      </c>
      <c r="G114" s="9">
        <f t="shared" si="14"/>
        <v>1155.3535999572546</v>
      </c>
      <c r="H114" s="9">
        <f>VLOOKUP(A114,'Source Data'!$A$2:$Q$137,8,FALSE)</f>
        <v>1570809.98</v>
      </c>
      <c r="I114" s="9">
        <f t="shared" si="15"/>
        <v>839.3096524271326</v>
      </c>
      <c r="J114" s="9">
        <f>VLOOKUP(A114,'Source Data'!$A$2:$Q$137,13,FALSE)</f>
        <v>571979.57</v>
      </c>
      <c r="K114" s="9">
        <f t="shared" si="16"/>
        <v>305.6181079853597</v>
      </c>
      <c r="L114" s="9">
        <f>VLOOKUP(A114,'Source Data'!$A$2:$Q$137,16,FALSE)</f>
        <v>28761922.809999973</v>
      </c>
      <c r="M114" s="9">
        <f t="shared" si="17"/>
        <v>15367.969228714153</v>
      </c>
      <c r="N114" s="46"/>
      <c r="O114" s="47"/>
      <c r="P114" s="47"/>
      <c r="Q114" s="47"/>
      <c r="R114" s="47"/>
      <c r="S114" s="47"/>
      <c r="T114" s="46"/>
      <c r="U114" s="46"/>
      <c r="V114" s="46"/>
      <c r="W114" s="46"/>
      <c r="X114" s="46"/>
      <c r="Y114" s="46"/>
      <c r="Z114" s="46"/>
      <c r="AA114" s="46"/>
      <c r="AB114" s="46"/>
      <c r="AC114" s="46"/>
      <c r="AD114" s="46"/>
      <c r="AE114" s="46"/>
    </row>
    <row r="115" spans="1:31" ht="12.75">
      <c r="A115" s="22">
        <v>110</v>
      </c>
      <c r="B115" s="8" t="s">
        <v>281</v>
      </c>
      <c r="C115" s="130">
        <f>VLOOKUP(A115,'Source Data'!$A$2:$Q$137,17,FALSE)</f>
        <v>2427.69</v>
      </c>
      <c r="D115" s="9">
        <f t="shared" si="12"/>
        <v>15458672.910000011</v>
      </c>
      <c r="E115" s="9">
        <f t="shared" si="13"/>
        <v>6367.646985405884</v>
      </c>
      <c r="F115" s="9">
        <f>VLOOKUP(A115,'Source Data'!$A$2:$Q$137,7,FALSE)</f>
        <v>4323020.32</v>
      </c>
      <c r="G115" s="9">
        <f t="shared" si="14"/>
        <v>1780.7134848353785</v>
      </c>
      <c r="H115" s="9">
        <f>VLOOKUP(A115,'Source Data'!$A$2:$Q$137,8,FALSE)</f>
        <v>2039038.92</v>
      </c>
      <c r="I115" s="9">
        <f t="shared" si="15"/>
        <v>839.9090987729076</v>
      </c>
      <c r="J115" s="9">
        <f>VLOOKUP(A115,'Source Data'!$A$2:$Q$137,13,FALSE)</f>
        <v>2688563.4</v>
      </c>
      <c r="K115" s="9">
        <f t="shared" si="16"/>
        <v>1107.4574595603226</v>
      </c>
      <c r="L115" s="9">
        <f>VLOOKUP(A115,'Source Data'!$A$2:$Q$137,16,FALSE)</f>
        <v>24509295.550000012</v>
      </c>
      <c r="M115" s="9">
        <f t="shared" si="17"/>
        <v>10095.727028574493</v>
      </c>
      <c r="N115" s="46"/>
      <c r="O115" s="47"/>
      <c r="P115" s="47"/>
      <c r="Q115" s="47"/>
      <c r="R115" s="47"/>
      <c r="S115" s="47"/>
      <c r="T115" s="46"/>
      <c r="U115" s="46"/>
      <c r="V115" s="46"/>
      <c r="W115" s="46"/>
      <c r="X115" s="46"/>
      <c r="Y115" s="46"/>
      <c r="Z115" s="46"/>
      <c r="AA115" s="46"/>
      <c r="AB115" s="46"/>
      <c r="AC115" s="46"/>
      <c r="AD115" s="46"/>
      <c r="AE115" s="46"/>
    </row>
    <row r="116" spans="1:31" ht="12.75">
      <c r="A116" s="22">
        <v>111</v>
      </c>
      <c r="B116" s="8" t="s">
        <v>256</v>
      </c>
      <c r="C116" s="130">
        <f>VLOOKUP(A116,'Source Data'!$A$2:$Q$137,17,FALSE)</f>
        <v>1302.8</v>
      </c>
      <c r="D116" s="9">
        <f t="shared" si="12"/>
        <v>2864153.6799999867</v>
      </c>
      <c r="E116" s="9">
        <f t="shared" si="13"/>
        <v>2198.4599938593697</v>
      </c>
      <c r="F116" s="9">
        <f>VLOOKUP(A116,'Source Data'!$A$2:$Q$137,7,FALSE)</f>
        <v>5140131.3</v>
      </c>
      <c r="G116" s="9">
        <f t="shared" si="14"/>
        <v>3945.4492631255757</v>
      </c>
      <c r="H116" s="9">
        <f>VLOOKUP(A116,'Source Data'!$A$2:$Q$137,8,FALSE)</f>
        <v>849829.8</v>
      </c>
      <c r="I116" s="9">
        <f t="shared" si="15"/>
        <v>652.3102548357384</v>
      </c>
      <c r="J116" s="9">
        <f>VLOOKUP(A116,'Source Data'!$A$2:$Q$137,13,FALSE)</f>
        <v>1202503.33</v>
      </c>
      <c r="K116" s="9">
        <f t="shared" si="16"/>
        <v>923.0145302425545</v>
      </c>
      <c r="L116" s="9">
        <f>VLOOKUP(A116,'Source Data'!$A$2:$Q$137,16,FALSE)</f>
        <v>10056618.109999986</v>
      </c>
      <c r="M116" s="9">
        <f t="shared" si="17"/>
        <v>7719.234042063238</v>
      </c>
      <c r="N116" s="46"/>
      <c r="O116" s="47"/>
      <c r="P116" s="47"/>
      <c r="Q116" s="47"/>
      <c r="R116" s="47"/>
      <c r="S116" s="47"/>
      <c r="T116" s="46"/>
      <c r="U116" s="46"/>
      <c r="V116" s="46"/>
      <c r="W116" s="46"/>
      <c r="X116" s="46"/>
      <c r="Y116" s="46"/>
      <c r="Z116" s="46"/>
      <c r="AA116" s="46"/>
      <c r="AB116" s="46"/>
      <c r="AC116" s="46"/>
      <c r="AD116" s="46"/>
      <c r="AE116" s="46"/>
    </row>
    <row r="117" spans="1:31" ht="12.75">
      <c r="A117" s="22">
        <v>112</v>
      </c>
      <c r="B117" s="8" t="s">
        <v>257</v>
      </c>
      <c r="C117" s="130">
        <f>VLOOKUP(A117,'Source Data'!$A$2:$Q$137,17,FALSE)</f>
        <v>22520.59</v>
      </c>
      <c r="D117" s="9">
        <f t="shared" si="12"/>
        <v>57841966.07000001</v>
      </c>
      <c r="E117" s="9">
        <f t="shared" si="13"/>
        <v>2568.4036728167425</v>
      </c>
      <c r="F117" s="9">
        <f>VLOOKUP(A117,'Source Data'!$A$2:$Q$137,7,FALSE)</f>
        <v>93530460.18000002</v>
      </c>
      <c r="G117" s="9">
        <f t="shared" si="14"/>
        <v>4153.108785338218</v>
      </c>
      <c r="H117" s="9">
        <f>VLOOKUP(A117,'Source Data'!$A$2:$Q$137,8,FALSE)</f>
        <v>21595796.48</v>
      </c>
      <c r="I117" s="9">
        <f t="shared" si="15"/>
        <v>958.9356442260172</v>
      </c>
      <c r="J117" s="9">
        <f>VLOOKUP(A117,'Source Data'!$A$2:$Q$137,13,FALSE)</f>
        <v>19360454.18</v>
      </c>
      <c r="K117" s="9">
        <f t="shared" si="16"/>
        <v>859.677929397054</v>
      </c>
      <c r="L117" s="9">
        <f>VLOOKUP(A117,'Source Data'!$A$2:$Q$137,16,FALSE)</f>
        <v>192328676.91000003</v>
      </c>
      <c r="M117" s="9">
        <f t="shared" si="17"/>
        <v>8540.126031778032</v>
      </c>
      <c r="N117" s="46"/>
      <c r="O117" s="47"/>
      <c r="P117" s="47"/>
      <c r="Q117" s="47"/>
      <c r="R117" s="47"/>
      <c r="S117" s="47"/>
      <c r="T117" s="46"/>
      <c r="U117" s="46"/>
      <c r="V117" s="46"/>
      <c r="W117" s="46"/>
      <c r="X117" s="46"/>
      <c r="Y117" s="46"/>
      <c r="Z117" s="46"/>
      <c r="AA117" s="46"/>
      <c r="AB117" s="46"/>
      <c r="AC117" s="46"/>
      <c r="AD117" s="46"/>
      <c r="AE117" s="46"/>
    </row>
    <row r="118" spans="1:31" ht="12.75">
      <c r="A118" s="22">
        <v>113</v>
      </c>
      <c r="B118" s="8" t="s">
        <v>258</v>
      </c>
      <c r="C118" s="130">
        <f>VLOOKUP(A118,'Source Data'!$A$2:$Q$137,17,FALSE)</f>
        <v>4126.78</v>
      </c>
      <c r="D118" s="9">
        <f t="shared" si="12"/>
        <v>20714368.900000017</v>
      </c>
      <c r="E118" s="9">
        <f t="shared" si="13"/>
        <v>5019.499197921871</v>
      </c>
      <c r="F118" s="9">
        <f>VLOOKUP(A118,'Source Data'!$A$2:$Q$137,7,FALSE)</f>
        <v>12778113.89</v>
      </c>
      <c r="G118" s="9">
        <f t="shared" si="14"/>
        <v>3096.3884408667295</v>
      </c>
      <c r="H118" s="9">
        <f>VLOOKUP(A118,'Source Data'!$A$2:$Q$137,8,FALSE)</f>
        <v>3304354.41</v>
      </c>
      <c r="I118" s="9">
        <f t="shared" si="15"/>
        <v>800.7100960070564</v>
      </c>
      <c r="J118" s="9">
        <f>VLOOKUP(A118,'Source Data'!$A$2:$Q$137,13,FALSE)</f>
        <v>3799040.2</v>
      </c>
      <c r="K118" s="9">
        <f t="shared" si="16"/>
        <v>920.5821972579106</v>
      </c>
      <c r="L118" s="9">
        <f>VLOOKUP(A118,'Source Data'!$A$2:$Q$137,16,FALSE)</f>
        <v>40595877.40000002</v>
      </c>
      <c r="M118" s="9">
        <f t="shared" si="17"/>
        <v>9837.179932053568</v>
      </c>
      <c r="N118" s="46"/>
      <c r="O118" s="47"/>
      <c r="P118" s="47"/>
      <c r="Q118" s="47"/>
      <c r="R118" s="47"/>
      <c r="S118" s="47"/>
      <c r="T118" s="46"/>
      <c r="U118" s="46"/>
      <c r="V118" s="46"/>
      <c r="W118" s="46"/>
      <c r="X118" s="46"/>
      <c r="Y118" s="46"/>
      <c r="Z118" s="46"/>
      <c r="AA118" s="46"/>
      <c r="AB118" s="46"/>
      <c r="AC118" s="46"/>
      <c r="AD118" s="46"/>
      <c r="AE118" s="46"/>
    </row>
    <row r="119" spans="1:31" ht="12.75">
      <c r="A119" s="22">
        <v>114</v>
      </c>
      <c r="B119" s="8" t="s">
        <v>259</v>
      </c>
      <c r="C119" s="130">
        <f>VLOOKUP(A119,'Source Data'!$A$2:$Q$137,17,FALSE)</f>
        <v>3816.76</v>
      </c>
      <c r="D119" s="9">
        <f t="shared" si="12"/>
        <v>9903780.76999998</v>
      </c>
      <c r="E119" s="9">
        <f t="shared" si="13"/>
        <v>2594.8136036847955</v>
      </c>
      <c r="F119" s="9">
        <f>VLOOKUP(A119,'Source Data'!$A$2:$Q$137,7,FALSE)</f>
        <v>17006721.169999998</v>
      </c>
      <c r="G119" s="9">
        <f t="shared" si="14"/>
        <v>4455.800514048564</v>
      </c>
      <c r="H119" s="9">
        <f>VLOOKUP(A119,'Source Data'!$A$2:$Q$137,8,FALSE)</f>
        <v>3268490.38</v>
      </c>
      <c r="I119" s="9">
        <f t="shared" si="15"/>
        <v>856.3520839665056</v>
      </c>
      <c r="J119" s="9">
        <f>VLOOKUP(A119,'Source Data'!$A$2:$Q$137,13,FALSE)</f>
        <v>3759496.18</v>
      </c>
      <c r="K119" s="9">
        <f t="shared" si="16"/>
        <v>984.9967459311039</v>
      </c>
      <c r="L119" s="9">
        <f>VLOOKUP(A119,'Source Data'!$A$2:$Q$137,16,FALSE)</f>
        <v>33938488.49999998</v>
      </c>
      <c r="M119" s="9">
        <f t="shared" si="17"/>
        <v>8891.96294763097</v>
      </c>
      <c r="N119" s="46"/>
      <c r="O119" s="47"/>
      <c r="P119" s="47"/>
      <c r="Q119" s="47"/>
      <c r="R119" s="47"/>
      <c r="S119" s="47"/>
      <c r="T119" s="46"/>
      <c r="U119" s="46"/>
      <c r="V119" s="46"/>
      <c r="W119" s="46"/>
      <c r="X119" s="46"/>
      <c r="Y119" s="46"/>
      <c r="Z119" s="46"/>
      <c r="AA119" s="46"/>
      <c r="AB119" s="46"/>
      <c r="AC119" s="46"/>
      <c r="AD119" s="46"/>
      <c r="AE119" s="46"/>
    </row>
    <row r="120" spans="1:31" ht="12.75">
      <c r="A120" s="22">
        <v>115</v>
      </c>
      <c r="B120" s="8" t="s">
        <v>261</v>
      </c>
      <c r="C120" s="130">
        <f>VLOOKUP(A120,'Source Data'!$A$2:$Q$137,17,FALSE)</f>
        <v>8520.48</v>
      </c>
      <c r="D120" s="9">
        <f t="shared" si="12"/>
        <v>27598612.980000004</v>
      </c>
      <c r="E120" s="9">
        <f t="shared" si="13"/>
        <v>3239.091339924512</v>
      </c>
      <c r="F120" s="9">
        <f>VLOOKUP(A120,'Source Data'!$A$2:$Q$137,7,FALSE)</f>
        <v>28147583.78</v>
      </c>
      <c r="G120" s="9">
        <f t="shared" si="14"/>
        <v>3303.5209025782588</v>
      </c>
      <c r="H120" s="9">
        <f>VLOOKUP(A120,'Source Data'!$A$2:$Q$137,8,FALSE)</f>
        <v>9131857.59</v>
      </c>
      <c r="I120" s="9">
        <f t="shared" si="15"/>
        <v>1071.7538906258803</v>
      </c>
      <c r="J120" s="9">
        <f>VLOOKUP(A120,'Source Data'!$A$2:$Q$137,13,FALSE)</f>
        <v>8419058.629999999</v>
      </c>
      <c r="K120" s="9">
        <f t="shared" si="16"/>
        <v>988.0967539387451</v>
      </c>
      <c r="L120" s="9">
        <f>VLOOKUP(A120,'Source Data'!$A$2:$Q$137,16,FALSE)</f>
        <v>73297112.98</v>
      </c>
      <c r="M120" s="9">
        <f t="shared" si="17"/>
        <v>8602.462887067397</v>
      </c>
      <c r="N120" s="46"/>
      <c r="O120" s="47"/>
      <c r="P120" s="47"/>
      <c r="Q120" s="47"/>
      <c r="R120" s="47"/>
      <c r="S120" s="47"/>
      <c r="T120" s="46"/>
      <c r="U120" s="46"/>
      <c r="V120" s="46"/>
      <c r="W120" s="46"/>
      <c r="X120" s="46"/>
      <c r="Y120" s="46"/>
      <c r="Z120" s="46"/>
      <c r="AA120" s="46"/>
      <c r="AB120" s="46"/>
      <c r="AC120" s="46"/>
      <c r="AD120" s="46"/>
      <c r="AE120" s="46"/>
    </row>
    <row r="121" spans="1:31" ht="12.75">
      <c r="A121" s="22">
        <v>116</v>
      </c>
      <c r="B121" s="8" t="s">
        <v>264</v>
      </c>
      <c r="C121" s="130">
        <f>VLOOKUP(A121,'Source Data'!$A$2:$Q$137,17,FALSE)</f>
        <v>2575.83</v>
      </c>
      <c r="D121" s="9">
        <f t="shared" si="12"/>
        <v>4623437.930000011</v>
      </c>
      <c r="E121" s="9">
        <f t="shared" si="13"/>
        <v>1794.9313153430198</v>
      </c>
      <c r="F121" s="9">
        <f>VLOOKUP(A121,'Source Data'!$A$2:$Q$137,7,FALSE)</f>
        <v>10835857.650000002</v>
      </c>
      <c r="G121" s="9">
        <f t="shared" si="14"/>
        <v>4206.744098018892</v>
      </c>
      <c r="H121" s="9">
        <f>VLOOKUP(A121,'Source Data'!$A$2:$Q$137,8,FALSE)</f>
        <v>2417093.3</v>
      </c>
      <c r="I121" s="9">
        <f t="shared" si="15"/>
        <v>938.3745433510751</v>
      </c>
      <c r="J121" s="9">
        <f>VLOOKUP(A121,'Source Data'!$A$2:$Q$137,13,FALSE)</f>
        <v>4639688.19</v>
      </c>
      <c r="K121" s="9">
        <f t="shared" si="16"/>
        <v>1801.24006242648</v>
      </c>
      <c r="L121" s="9">
        <f>VLOOKUP(A121,'Source Data'!$A$2:$Q$137,16,FALSE)</f>
        <v>22516077.070000015</v>
      </c>
      <c r="M121" s="9">
        <f t="shared" si="17"/>
        <v>8741.290019139467</v>
      </c>
      <c r="N121" s="46"/>
      <c r="O121" s="47"/>
      <c r="P121" s="47"/>
      <c r="Q121" s="47"/>
      <c r="R121" s="47"/>
      <c r="S121" s="47"/>
      <c r="T121" s="46"/>
      <c r="U121" s="46"/>
      <c r="V121" s="46"/>
      <c r="W121" s="46"/>
      <c r="X121" s="46"/>
      <c r="Y121" s="46"/>
      <c r="Z121" s="46"/>
      <c r="AA121" s="46"/>
      <c r="AB121" s="46"/>
      <c r="AC121" s="46"/>
      <c r="AD121" s="46"/>
      <c r="AE121" s="46"/>
    </row>
    <row r="122" spans="1:31" ht="12.75">
      <c r="A122" s="22">
        <v>117</v>
      </c>
      <c r="B122" s="8" t="s">
        <v>265</v>
      </c>
      <c r="C122" s="130">
        <f>VLOOKUP(A122,'Source Data'!$A$2:$Q$137,17,FALSE)</f>
        <v>31326.84</v>
      </c>
      <c r="D122" s="9">
        <f t="shared" si="12"/>
        <v>79189640.36999999</v>
      </c>
      <c r="E122" s="9">
        <f t="shared" si="13"/>
        <v>2527.8528051345106</v>
      </c>
      <c r="F122" s="9">
        <f>VLOOKUP(A122,'Source Data'!$A$2:$Q$137,7,FALSE)</f>
        <v>128012337.82000001</v>
      </c>
      <c r="G122" s="9">
        <f t="shared" si="14"/>
        <v>4086.346973394061</v>
      </c>
      <c r="H122" s="9">
        <f>VLOOKUP(A122,'Source Data'!$A$2:$Q$137,8,FALSE)</f>
        <v>31262693.02</v>
      </c>
      <c r="I122" s="9">
        <f t="shared" si="15"/>
        <v>997.9523316108487</v>
      </c>
      <c r="J122" s="9">
        <f>VLOOKUP(A122,'Source Data'!$A$2:$Q$137,13,FALSE)</f>
        <v>29596722.400000006</v>
      </c>
      <c r="K122" s="9">
        <f t="shared" si="16"/>
        <v>944.7720357367677</v>
      </c>
      <c r="L122" s="9">
        <f>VLOOKUP(A122,'Source Data'!$A$2:$Q$137,16,FALSE)</f>
        <v>268061393.61</v>
      </c>
      <c r="M122" s="9">
        <f t="shared" si="17"/>
        <v>8556.924145876188</v>
      </c>
      <c r="N122" s="46"/>
      <c r="O122" s="47"/>
      <c r="P122" s="47"/>
      <c r="Q122" s="47"/>
      <c r="R122" s="47"/>
      <c r="S122" s="47"/>
      <c r="T122" s="46"/>
      <c r="U122" s="46"/>
      <c r="V122" s="46"/>
      <c r="W122" s="46"/>
      <c r="X122" s="46"/>
      <c r="Y122" s="46"/>
      <c r="Z122" s="46"/>
      <c r="AA122" s="46"/>
      <c r="AB122" s="46"/>
      <c r="AC122" s="46"/>
      <c r="AD122" s="46"/>
      <c r="AE122" s="46"/>
    </row>
    <row r="123" spans="1:31" ht="12.75">
      <c r="A123" s="22">
        <v>118</v>
      </c>
      <c r="B123" s="8" t="s">
        <v>266</v>
      </c>
      <c r="C123" s="130">
        <f>VLOOKUP(A123,'Source Data'!$A$2:$Q$137,17,FALSE)</f>
        <v>33693.02</v>
      </c>
      <c r="D123" s="9">
        <f t="shared" si="12"/>
        <v>95178369.37999997</v>
      </c>
      <c r="E123" s="9">
        <f t="shared" si="13"/>
        <v>2824.869049435164</v>
      </c>
      <c r="F123" s="9">
        <f>VLOOKUP(A123,'Source Data'!$A$2:$Q$137,7,FALSE)</f>
        <v>142523954.42</v>
      </c>
      <c r="G123" s="9">
        <f t="shared" si="14"/>
        <v>4230.073600407443</v>
      </c>
      <c r="H123" s="9">
        <f>VLOOKUP(A123,'Source Data'!$A$2:$Q$137,8,FALSE)</f>
        <v>32220179.08</v>
      </c>
      <c r="I123" s="9">
        <f t="shared" si="15"/>
        <v>956.2864676422595</v>
      </c>
      <c r="J123" s="9">
        <f>VLOOKUP(A123,'Source Data'!$A$2:$Q$137,13,FALSE)</f>
        <v>35861849.56000001</v>
      </c>
      <c r="K123" s="9">
        <f t="shared" si="16"/>
        <v>1064.3702927193826</v>
      </c>
      <c r="L123" s="9">
        <f>VLOOKUP(A123,'Source Data'!$A$2:$Q$137,16,FALSE)</f>
        <v>305784352.43999994</v>
      </c>
      <c r="M123" s="9">
        <f t="shared" si="17"/>
        <v>9075.59941020425</v>
      </c>
      <c r="N123" s="46"/>
      <c r="O123" s="47"/>
      <c r="P123" s="47"/>
      <c r="Q123" s="47"/>
      <c r="R123" s="47"/>
      <c r="S123" s="47"/>
      <c r="T123" s="46"/>
      <c r="U123" s="46"/>
      <c r="V123" s="46"/>
      <c r="W123" s="46"/>
      <c r="X123" s="46"/>
      <c r="Y123" s="46"/>
      <c r="Z123" s="46"/>
      <c r="AA123" s="46"/>
      <c r="AB123" s="46"/>
      <c r="AC123" s="46"/>
      <c r="AD123" s="46"/>
      <c r="AE123" s="46"/>
    </row>
    <row r="124" spans="1:31" ht="12.75">
      <c r="A124" s="22">
        <v>119</v>
      </c>
      <c r="B124" s="8" t="s">
        <v>267</v>
      </c>
      <c r="C124" s="130">
        <f>VLOOKUP(A124,'Source Data'!$A$2:$Q$137,17,FALSE)</f>
        <v>718.82</v>
      </c>
      <c r="D124" s="9">
        <f t="shared" si="12"/>
        <v>1314987.669999999</v>
      </c>
      <c r="E124" s="9">
        <f t="shared" si="13"/>
        <v>1829.3698978882042</v>
      </c>
      <c r="F124" s="9">
        <f>VLOOKUP(A124,'Source Data'!$A$2:$Q$137,7,FALSE)</f>
        <v>2968972.59</v>
      </c>
      <c r="G124" s="9">
        <f t="shared" si="14"/>
        <v>4130.34221362789</v>
      </c>
      <c r="H124" s="9">
        <f>VLOOKUP(A124,'Source Data'!$A$2:$Q$137,8,FALSE)</f>
        <v>587117.32</v>
      </c>
      <c r="I124" s="9">
        <f t="shared" si="15"/>
        <v>816.7793327954146</v>
      </c>
      <c r="J124" s="9">
        <f>VLOOKUP(A124,'Source Data'!$A$2:$Q$137,13,FALSE)</f>
        <v>908041.91</v>
      </c>
      <c r="K124" s="9">
        <f t="shared" si="16"/>
        <v>1263.239628836148</v>
      </c>
      <c r="L124" s="9">
        <f>VLOOKUP(A124,'Source Data'!$A$2:$Q$137,16,FALSE)</f>
        <v>5779119.489999999</v>
      </c>
      <c r="M124" s="9">
        <f t="shared" si="17"/>
        <v>8039.731073147657</v>
      </c>
      <c r="N124" s="46"/>
      <c r="O124" s="47"/>
      <c r="P124" s="47"/>
      <c r="Q124" s="47"/>
      <c r="R124" s="47"/>
      <c r="S124" s="47"/>
      <c r="T124" s="46"/>
      <c r="U124" s="46"/>
      <c r="V124" s="46"/>
      <c r="W124" s="46"/>
      <c r="X124" s="46"/>
      <c r="Y124" s="46"/>
      <c r="Z124" s="46"/>
      <c r="AA124" s="46"/>
      <c r="AB124" s="46"/>
      <c r="AC124" s="46"/>
      <c r="AD124" s="46"/>
      <c r="AE124" s="46"/>
    </row>
    <row r="125" spans="1:31" ht="12.75">
      <c r="A125" s="22">
        <v>120</v>
      </c>
      <c r="B125" s="8" t="s">
        <v>268</v>
      </c>
      <c r="C125" s="130">
        <f>VLOOKUP(A125,'Source Data'!$A$2:$Q$137,17,FALSE)</f>
        <v>5038.58</v>
      </c>
      <c r="D125" s="9">
        <f t="shared" si="12"/>
        <v>7819401.179999992</v>
      </c>
      <c r="E125" s="9">
        <f t="shared" si="13"/>
        <v>1551.905731376696</v>
      </c>
      <c r="F125" s="9">
        <f>VLOOKUP(A125,'Source Data'!$A$2:$Q$137,7,FALSE)</f>
        <v>26735959.959999993</v>
      </c>
      <c r="G125" s="9">
        <f t="shared" si="14"/>
        <v>5306.248974909597</v>
      </c>
      <c r="H125" s="9">
        <f>VLOOKUP(A125,'Source Data'!$A$2:$Q$137,8,FALSE)</f>
        <v>3924744.04</v>
      </c>
      <c r="I125" s="9">
        <f t="shared" si="15"/>
        <v>778.9385183920867</v>
      </c>
      <c r="J125" s="9">
        <f>VLOOKUP(A125,'Source Data'!$A$2:$Q$137,13,FALSE)</f>
        <v>6401704.660000002</v>
      </c>
      <c r="K125" s="9">
        <f t="shared" si="16"/>
        <v>1270.5374649206726</v>
      </c>
      <c r="L125" s="9">
        <f>VLOOKUP(A125,'Source Data'!$A$2:$Q$137,16,FALSE)</f>
        <v>44881809.83999999</v>
      </c>
      <c r="M125" s="9">
        <f t="shared" si="17"/>
        <v>8907.630689599051</v>
      </c>
      <c r="N125" s="46"/>
      <c r="O125" s="47"/>
      <c r="P125" s="47"/>
      <c r="Q125" s="47"/>
      <c r="R125" s="47"/>
      <c r="S125" s="47"/>
      <c r="T125" s="46"/>
      <c r="U125" s="46"/>
      <c r="V125" s="46"/>
      <c r="W125" s="46"/>
      <c r="X125" s="46"/>
      <c r="Y125" s="46"/>
      <c r="Z125" s="46"/>
      <c r="AA125" s="46"/>
      <c r="AB125" s="46"/>
      <c r="AC125" s="46"/>
      <c r="AD125" s="46"/>
      <c r="AE125" s="46"/>
    </row>
    <row r="126" spans="1:31" ht="12.75">
      <c r="A126" s="22">
        <v>121</v>
      </c>
      <c r="B126" s="8" t="s">
        <v>270</v>
      </c>
      <c r="C126" s="130">
        <f>VLOOKUP(A126,'Source Data'!$A$2:$Q$137,17,FALSE)</f>
        <v>15219.67</v>
      </c>
      <c r="D126" s="9">
        <f t="shared" si="12"/>
        <v>32881851.05000007</v>
      </c>
      <c r="E126" s="9">
        <f t="shared" si="13"/>
        <v>2160.4838376916236</v>
      </c>
      <c r="F126" s="9">
        <f>VLOOKUP(A126,'Source Data'!$A$2:$Q$137,7,FALSE)</f>
        <v>72078138.96000001</v>
      </c>
      <c r="G126" s="9">
        <f t="shared" si="14"/>
        <v>4735.854257023971</v>
      </c>
      <c r="H126" s="9">
        <f>VLOOKUP(A126,'Source Data'!$A$2:$Q$137,8,FALSE)</f>
        <v>12536028.84</v>
      </c>
      <c r="I126" s="9">
        <f t="shared" si="15"/>
        <v>823.6728417896052</v>
      </c>
      <c r="J126" s="9">
        <f>VLOOKUP(A126,'Source Data'!$A$2:$Q$137,13,FALSE)</f>
        <v>15586683.049999997</v>
      </c>
      <c r="K126" s="9">
        <f t="shared" si="16"/>
        <v>1024.1143894709935</v>
      </c>
      <c r="L126" s="9">
        <f>VLOOKUP(A126,'Source Data'!$A$2:$Q$137,16,FALSE)</f>
        <v>133082701.90000008</v>
      </c>
      <c r="M126" s="9">
        <f t="shared" si="17"/>
        <v>8744.125325976192</v>
      </c>
      <c r="N126" s="46"/>
      <c r="O126" s="47"/>
      <c r="P126" s="47"/>
      <c r="Q126" s="47"/>
      <c r="R126" s="47"/>
      <c r="S126" s="47"/>
      <c r="T126" s="46"/>
      <c r="U126" s="46"/>
      <c r="V126" s="46"/>
      <c r="W126" s="46"/>
      <c r="X126" s="46"/>
      <c r="Y126" s="46"/>
      <c r="Z126" s="46"/>
      <c r="AA126" s="46"/>
      <c r="AB126" s="46"/>
      <c r="AC126" s="46"/>
      <c r="AD126" s="46"/>
      <c r="AE126" s="46"/>
    </row>
    <row r="127" spans="1:31" ht="12.75">
      <c r="A127" s="22">
        <v>122</v>
      </c>
      <c r="B127" s="8" t="s">
        <v>271</v>
      </c>
      <c r="C127" s="130">
        <f>VLOOKUP(A127,'Source Data'!$A$2:$Q$137,17,FALSE)</f>
        <v>1528.17</v>
      </c>
      <c r="D127" s="9">
        <f t="shared" si="12"/>
        <v>4517219.020000004</v>
      </c>
      <c r="E127" s="9">
        <f t="shared" si="13"/>
        <v>2955.9662995609156</v>
      </c>
      <c r="F127" s="9">
        <f>VLOOKUP(A127,'Source Data'!$A$2:$Q$137,7,FALSE)</f>
        <v>6084466.409999999</v>
      </c>
      <c r="G127" s="9">
        <f t="shared" si="14"/>
        <v>3981.537662694595</v>
      </c>
      <c r="H127" s="9">
        <f>VLOOKUP(A127,'Source Data'!$A$2:$Q$137,8,FALSE)</f>
        <v>1116701.29</v>
      </c>
      <c r="I127" s="9">
        <f t="shared" si="15"/>
        <v>730.7441515014691</v>
      </c>
      <c r="J127" s="9">
        <f>VLOOKUP(A127,'Source Data'!$A$2:$Q$137,13,FALSE)</f>
        <v>771987.47</v>
      </c>
      <c r="K127" s="9">
        <f t="shared" si="16"/>
        <v>505.17119823056333</v>
      </c>
      <c r="L127" s="9">
        <f>VLOOKUP(A127,'Source Data'!$A$2:$Q$137,16,FALSE)</f>
        <v>12490374.190000005</v>
      </c>
      <c r="M127" s="9">
        <f t="shared" si="17"/>
        <v>8173.419311987544</v>
      </c>
      <c r="N127" s="46"/>
      <c r="O127" s="47"/>
      <c r="P127" s="47"/>
      <c r="Q127" s="47"/>
      <c r="R127" s="47"/>
      <c r="S127" s="47"/>
      <c r="T127" s="46"/>
      <c r="U127" s="46"/>
      <c r="V127" s="46"/>
      <c r="W127" s="46"/>
      <c r="X127" s="46"/>
      <c r="Y127" s="46"/>
      <c r="Z127" s="46"/>
      <c r="AA127" s="46"/>
      <c r="AB127" s="46"/>
      <c r="AC127" s="46"/>
      <c r="AD127" s="46"/>
      <c r="AE127" s="46"/>
    </row>
    <row r="128" spans="1:31" ht="12.75">
      <c r="A128" s="22">
        <v>123</v>
      </c>
      <c r="B128" s="8" t="s">
        <v>227</v>
      </c>
      <c r="C128" s="130">
        <f>VLOOKUP(A128,'Source Data'!$A$2:$Q$137,17,FALSE)</f>
        <v>23384.2</v>
      </c>
      <c r="D128" s="9">
        <f t="shared" si="12"/>
        <v>141363248.27999967</v>
      </c>
      <c r="E128" s="9">
        <f t="shared" si="13"/>
        <v>6045.2462893748625</v>
      </c>
      <c r="F128" s="9">
        <f>VLOOKUP(A128,'Source Data'!$A$2:$Q$137,7,FALSE)</f>
        <v>86448634.71000002</v>
      </c>
      <c r="G128" s="9">
        <f t="shared" si="14"/>
        <v>3696.882284191891</v>
      </c>
      <c r="H128" s="9">
        <f>VLOOKUP(A128,'Source Data'!$A$2:$Q$137,8,FALSE)</f>
        <v>24430872.97</v>
      </c>
      <c r="I128" s="9">
        <f t="shared" si="15"/>
        <v>1044.7598365563072</v>
      </c>
      <c r="J128" s="9">
        <f>VLOOKUP(A128,'Source Data'!$A$2:$Q$137,13,FALSE)</f>
        <v>33064331.769999996</v>
      </c>
      <c r="K128" s="9">
        <f t="shared" si="16"/>
        <v>1413.960356565544</v>
      </c>
      <c r="L128" s="9">
        <f>VLOOKUP(A128,'Source Data'!$A$2:$Q$137,16,FALSE)</f>
        <v>285307087.72999966</v>
      </c>
      <c r="M128" s="9">
        <f t="shared" si="17"/>
        <v>12200.848766688603</v>
      </c>
      <c r="N128" s="46"/>
      <c r="O128" s="47"/>
      <c r="P128" s="47"/>
      <c r="Q128" s="47"/>
      <c r="R128" s="47"/>
      <c r="S128" s="47"/>
      <c r="T128" s="46"/>
      <c r="U128" s="46"/>
      <c r="V128" s="46"/>
      <c r="W128" s="46"/>
      <c r="X128" s="46"/>
      <c r="Y128" s="46"/>
      <c r="Z128" s="46"/>
      <c r="AA128" s="46"/>
      <c r="AB128" s="46"/>
      <c r="AC128" s="46"/>
      <c r="AD128" s="46"/>
      <c r="AE128" s="46"/>
    </row>
    <row r="129" spans="1:31" ht="12.75">
      <c r="A129" s="22">
        <v>124</v>
      </c>
      <c r="B129" s="8" t="s">
        <v>228</v>
      </c>
      <c r="C129" s="130">
        <f>VLOOKUP(A129,'Source Data'!$A$2:$Q$137,17,FALSE)</f>
        <v>12714.73</v>
      </c>
      <c r="D129" s="9">
        <f t="shared" si="12"/>
        <v>48034081.96000022</v>
      </c>
      <c r="E129" s="9">
        <f t="shared" si="13"/>
        <v>3777.8294906773654</v>
      </c>
      <c r="F129" s="9">
        <f>VLOOKUP(A129,'Source Data'!$A$2:$Q$137,7,FALSE)</f>
        <v>49803998.25999999</v>
      </c>
      <c r="G129" s="9">
        <f t="shared" si="14"/>
        <v>3917.0315264264354</v>
      </c>
      <c r="H129" s="9">
        <f>VLOOKUP(A129,'Source Data'!$A$2:$Q$137,8,FALSE)</f>
        <v>11191232.36</v>
      </c>
      <c r="I129" s="9">
        <f t="shared" si="15"/>
        <v>880.1785299412571</v>
      </c>
      <c r="J129" s="9">
        <f>VLOOKUP(A129,'Source Data'!$A$2:$Q$137,13,FALSE)</f>
        <v>14171678.05</v>
      </c>
      <c r="K129" s="9">
        <f t="shared" si="16"/>
        <v>1114.5874155408728</v>
      </c>
      <c r="L129" s="9">
        <f>VLOOKUP(A129,'Source Data'!$A$2:$Q$137,16,FALSE)</f>
        <v>123200990.6300002</v>
      </c>
      <c r="M129" s="9">
        <f t="shared" si="17"/>
        <v>9689.626962585931</v>
      </c>
      <c r="N129" s="46"/>
      <c r="O129" s="47"/>
      <c r="P129" s="47"/>
      <c r="Q129" s="47"/>
      <c r="R129" s="47"/>
      <c r="S129" s="47"/>
      <c r="T129" s="46"/>
      <c r="U129" s="46"/>
      <c r="V129" s="46"/>
      <c r="W129" s="46"/>
      <c r="X129" s="46"/>
      <c r="Y129" s="46"/>
      <c r="Z129" s="46"/>
      <c r="AA129" s="46"/>
      <c r="AB129" s="46"/>
      <c r="AC129" s="46"/>
      <c r="AD129" s="46"/>
      <c r="AE129" s="46"/>
    </row>
    <row r="130" spans="1:31" ht="12.75">
      <c r="A130" s="22">
        <v>126</v>
      </c>
      <c r="B130" s="8" t="s">
        <v>273</v>
      </c>
      <c r="C130" s="130">
        <f>VLOOKUP(A130,'Source Data'!$A$2:$Q$137,17,FALSE)</f>
        <v>2633.28</v>
      </c>
      <c r="D130" s="9">
        <f t="shared" si="12"/>
        <v>10467189.100000009</v>
      </c>
      <c r="E130" s="9">
        <f t="shared" si="13"/>
        <v>3974.962442277315</v>
      </c>
      <c r="F130" s="9">
        <f>VLOOKUP(A130,'Source Data'!$A$2:$Q$137,7,FALSE)</f>
        <v>8670760.329999998</v>
      </c>
      <c r="G130" s="9">
        <f t="shared" si="14"/>
        <v>3292.7604850224807</v>
      </c>
      <c r="H130" s="9">
        <f>VLOOKUP(A130,'Source Data'!$A$2:$Q$137,8,FALSE)</f>
        <v>2758827.46</v>
      </c>
      <c r="I130" s="9">
        <f t="shared" si="15"/>
        <v>1047.6772162474176</v>
      </c>
      <c r="J130" s="9">
        <f>VLOOKUP(A130,'Source Data'!$A$2:$Q$137,13,FALSE)</f>
        <v>2118897.12</v>
      </c>
      <c r="K130" s="9">
        <f t="shared" si="16"/>
        <v>804.6607728764127</v>
      </c>
      <c r="L130" s="9">
        <f>VLOOKUP(A130,'Source Data'!$A$2:$Q$137,16,FALSE)</f>
        <v>24015674.01000001</v>
      </c>
      <c r="M130" s="9">
        <f t="shared" si="17"/>
        <v>9120.060916423627</v>
      </c>
      <c r="N130" s="46"/>
      <c r="O130" s="47"/>
      <c r="P130" s="47"/>
      <c r="Q130" s="47"/>
      <c r="R130" s="47"/>
      <c r="S130" s="47"/>
      <c r="T130" s="46"/>
      <c r="U130" s="46"/>
      <c r="V130" s="46"/>
      <c r="W130" s="46"/>
      <c r="X130" s="46"/>
      <c r="Y130" s="46"/>
      <c r="Z130" s="46"/>
      <c r="AA130" s="46"/>
      <c r="AB130" s="46"/>
      <c r="AC130" s="46"/>
      <c r="AD130" s="46"/>
      <c r="AE130" s="46"/>
    </row>
    <row r="131" spans="1:31" ht="12.75">
      <c r="A131" s="22">
        <v>127</v>
      </c>
      <c r="B131" s="8" t="s">
        <v>274</v>
      </c>
      <c r="C131" s="130">
        <f>VLOOKUP(A131,'Source Data'!$A$2:$Q$137,17,FALSE)</f>
        <v>13330.6</v>
      </c>
      <c r="D131" s="9">
        <f t="shared" si="12"/>
        <v>35761533.29000005</v>
      </c>
      <c r="E131" s="9">
        <f t="shared" si="13"/>
        <v>2682.664943063332</v>
      </c>
      <c r="F131" s="9">
        <f>VLOOKUP(A131,'Source Data'!$A$2:$Q$137,7,FALSE)</f>
        <v>49744662.53</v>
      </c>
      <c r="G131" s="9">
        <f t="shared" si="14"/>
        <v>3731.6146707575053</v>
      </c>
      <c r="H131" s="9">
        <f>VLOOKUP(A131,'Source Data'!$A$2:$Q$137,8,FALSE)</f>
        <v>11560734.82</v>
      </c>
      <c r="I131" s="9">
        <f t="shared" si="15"/>
        <v>867.2328942433198</v>
      </c>
      <c r="J131" s="9">
        <f>VLOOKUP(A131,'Source Data'!$A$2:$Q$137,13,FALSE)</f>
        <v>10090350.700000003</v>
      </c>
      <c r="K131" s="9">
        <f t="shared" si="16"/>
        <v>756.9314734520578</v>
      </c>
      <c r="L131" s="9">
        <f>VLOOKUP(A131,'Source Data'!$A$2:$Q$137,16,FALSE)</f>
        <v>107157281.34000006</v>
      </c>
      <c r="M131" s="9">
        <f t="shared" si="17"/>
        <v>8038.443981516215</v>
      </c>
      <c r="N131" s="46"/>
      <c r="O131" s="47"/>
      <c r="P131" s="47"/>
      <c r="Q131" s="47"/>
      <c r="R131" s="47"/>
      <c r="S131" s="47"/>
      <c r="T131" s="46"/>
      <c r="U131" s="46"/>
      <c r="V131" s="46"/>
      <c r="W131" s="46"/>
      <c r="X131" s="46"/>
      <c r="Y131" s="46"/>
      <c r="Z131" s="46"/>
      <c r="AA131" s="46"/>
      <c r="AB131" s="46"/>
      <c r="AC131" s="46"/>
      <c r="AD131" s="46"/>
      <c r="AE131" s="46"/>
    </row>
    <row r="132" spans="1:31" ht="12.75">
      <c r="A132" s="22">
        <v>128</v>
      </c>
      <c r="B132" s="8" t="s">
        <v>282</v>
      </c>
      <c r="C132" s="130">
        <f>VLOOKUP(A132,'Source Data'!$A$2:$Q$137,17,FALSE)</f>
        <v>74229.84</v>
      </c>
      <c r="D132" s="9">
        <f t="shared" si="12"/>
        <v>270318729.3599999</v>
      </c>
      <c r="E132" s="9">
        <f t="shared" si="13"/>
        <v>3641.6450494841415</v>
      </c>
      <c r="F132" s="9">
        <f>VLOOKUP(A132,'Source Data'!$A$2:$Q$137,7,FALSE)</f>
        <v>247384614.45000002</v>
      </c>
      <c r="G132" s="9">
        <f t="shared" si="14"/>
        <v>3332.684193445655</v>
      </c>
      <c r="H132" s="9">
        <f>VLOOKUP(A132,'Source Data'!$A$2:$Q$137,8,FALSE)</f>
        <v>64861558.949999996</v>
      </c>
      <c r="I132" s="9">
        <f t="shared" si="15"/>
        <v>873.7935976960209</v>
      </c>
      <c r="J132" s="9">
        <f>VLOOKUP(A132,'Source Data'!$A$2:$Q$137,13,FALSE)</f>
        <v>58256932.730000004</v>
      </c>
      <c r="K132" s="9">
        <f t="shared" si="16"/>
        <v>784.8182446574048</v>
      </c>
      <c r="L132" s="9">
        <f>VLOOKUP(A132,'Source Data'!$A$2:$Q$137,16,FALSE)</f>
        <v>640821835.4899999</v>
      </c>
      <c r="M132" s="9">
        <f t="shared" si="17"/>
        <v>8632.941085283222</v>
      </c>
      <c r="N132" s="46"/>
      <c r="O132" s="47"/>
      <c r="P132" s="47"/>
      <c r="Q132" s="47"/>
      <c r="R132" s="47"/>
      <c r="S132" s="47"/>
      <c r="T132" s="46"/>
      <c r="U132" s="46"/>
      <c r="V132" s="46"/>
      <c r="W132" s="46"/>
      <c r="X132" s="46"/>
      <c r="Y132" s="46"/>
      <c r="Z132" s="46"/>
      <c r="AA132" s="46"/>
      <c r="AB132" s="46"/>
      <c r="AC132" s="46"/>
      <c r="AD132" s="46"/>
      <c r="AE132" s="46"/>
    </row>
    <row r="133" spans="1:31" ht="12.75">
      <c r="A133" s="22">
        <v>130</v>
      </c>
      <c r="B133" s="8" t="s">
        <v>275</v>
      </c>
      <c r="C133" s="130">
        <f>VLOOKUP(A133,'Source Data'!$A$2:$Q$137,17,FALSE)</f>
        <v>2939.23</v>
      </c>
      <c r="D133" s="9">
        <f t="shared" si="12"/>
        <v>10214531.699999994</v>
      </c>
      <c r="E133" s="9">
        <f t="shared" si="13"/>
        <v>3475.2406922901555</v>
      </c>
      <c r="F133" s="9">
        <f>VLOOKUP(A133,'Source Data'!$A$2:$Q$137,7,FALSE)</f>
        <v>10869281.28</v>
      </c>
      <c r="G133" s="9">
        <f t="shared" si="14"/>
        <v>3698.002973567907</v>
      </c>
      <c r="H133" s="9">
        <f>VLOOKUP(A133,'Source Data'!$A$2:$Q$137,8,FALSE)</f>
        <v>2505819.44</v>
      </c>
      <c r="I133" s="9">
        <f t="shared" si="15"/>
        <v>852.5428224398906</v>
      </c>
      <c r="J133" s="9">
        <f>VLOOKUP(A133,'Source Data'!$A$2:$Q$137,13,FALSE)</f>
        <v>2318801.58</v>
      </c>
      <c r="K133" s="9">
        <f t="shared" si="16"/>
        <v>788.9146409093538</v>
      </c>
      <c r="L133" s="9">
        <f>VLOOKUP(A133,'Source Data'!$A$2:$Q$137,16,FALSE)</f>
        <v>25908433.999999993</v>
      </c>
      <c r="M133" s="9">
        <f t="shared" si="17"/>
        <v>8814.701129207308</v>
      </c>
      <c r="N133" s="46"/>
      <c r="O133" s="47"/>
      <c r="P133" s="47"/>
      <c r="Q133" s="47"/>
      <c r="R133" s="47"/>
      <c r="S133" s="47"/>
      <c r="T133" s="46"/>
      <c r="U133" s="46"/>
      <c r="V133" s="46"/>
      <c r="W133" s="46"/>
      <c r="X133" s="46"/>
      <c r="Y133" s="46"/>
      <c r="Z133" s="46"/>
      <c r="AA133" s="46"/>
      <c r="AB133" s="46"/>
      <c r="AC133" s="46"/>
      <c r="AD133" s="46"/>
      <c r="AE133" s="46"/>
    </row>
    <row r="134" spans="1:31" ht="13.5">
      <c r="A134" s="22">
        <v>131</v>
      </c>
      <c r="B134" s="8" t="s">
        <v>634</v>
      </c>
      <c r="C134" s="130">
        <f>VLOOKUP(A134,'Source Data'!$A$2:$Q$137,17,FALSE)</f>
        <v>718.58</v>
      </c>
      <c r="D134" s="9">
        <f t="shared" si="12"/>
        <v>5567725.71999998</v>
      </c>
      <c r="E134" s="9">
        <f t="shared" si="13"/>
        <v>7748.233627431851</v>
      </c>
      <c r="F134" s="9">
        <f>VLOOKUP(A134,'Source Data'!$A$2:$Q$137,7,FALSE)</f>
        <v>1067267.34</v>
      </c>
      <c r="G134" s="9">
        <f t="shared" si="14"/>
        <v>1485.2449831612346</v>
      </c>
      <c r="H134" s="9">
        <f>VLOOKUP(A134,'Source Data'!$A$2:$Q$137,8,FALSE)</f>
        <v>657483.1</v>
      </c>
      <c r="I134" s="9">
        <f t="shared" si="15"/>
        <v>914.9755072504105</v>
      </c>
      <c r="J134" s="9">
        <f>VLOOKUP(A134,'Source Data'!$A$2:$Q$137,13,FALSE)</f>
        <v>4068623.22</v>
      </c>
      <c r="K134" s="9">
        <f t="shared" si="16"/>
        <v>5662.032369395196</v>
      </c>
      <c r="L134" s="9">
        <f>VLOOKUP(A134,'Source Data'!$A$2:$Q$137,16,FALSE)</f>
        <v>11361099.37999998</v>
      </c>
      <c r="M134" s="9">
        <f t="shared" si="17"/>
        <v>15810.486487238693</v>
      </c>
      <c r="N134" s="46"/>
      <c r="O134" s="47"/>
      <c r="P134" s="47"/>
      <c r="Q134" s="47"/>
      <c r="R134" s="47"/>
      <c r="S134" s="47"/>
      <c r="T134" s="46"/>
      <c r="U134" s="46"/>
      <c r="V134" s="46"/>
      <c r="W134" s="46"/>
      <c r="X134" s="46"/>
      <c r="Y134" s="46"/>
      <c r="Z134" s="46"/>
      <c r="AA134" s="46"/>
      <c r="AB134" s="46"/>
      <c r="AC134" s="46"/>
      <c r="AD134" s="46"/>
      <c r="AE134" s="46"/>
    </row>
    <row r="135" spans="1:31" ht="12.75">
      <c r="A135" s="22">
        <v>132</v>
      </c>
      <c r="B135" s="8" t="s">
        <v>276</v>
      </c>
      <c r="C135" s="130">
        <f>VLOOKUP(A135,'Source Data'!$A$2:$Q$137,17,FALSE)</f>
        <v>3646.61</v>
      </c>
      <c r="D135" s="9">
        <f t="shared" si="12"/>
        <v>22299180.600000024</v>
      </c>
      <c r="E135" s="9">
        <f t="shared" si="13"/>
        <v>6115.043999769656</v>
      </c>
      <c r="F135" s="9">
        <f>VLOOKUP(A135,'Source Data'!$A$2:$Q$137,7,FALSE)</f>
        <v>10221072.5</v>
      </c>
      <c r="G135" s="9">
        <f t="shared" si="14"/>
        <v>2802.8970742689785</v>
      </c>
      <c r="H135" s="9">
        <f>VLOOKUP(A135,'Source Data'!$A$2:$Q$137,8,FALSE)</f>
        <v>2927268.46</v>
      </c>
      <c r="I135" s="9">
        <f t="shared" si="15"/>
        <v>802.7369145590013</v>
      </c>
      <c r="J135" s="9">
        <f>VLOOKUP(A135,'Source Data'!$A$2:$Q$137,13,FALSE)</f>
        <v>2793690.4</v>
      </c>
      <c r="K135" s="9">
        <f t="shared" si="16"/>
        <v>766.1061643553876</v>
      </c>
      <c r="L135" s="9">
        <f>VLOOKUP(A135,'Source Data'!$A$2:$Q$137,16,FALSE)</f>
        <v>38241211.96000002</v>
      </c>
      <c r="M135" s="9">
        <f t="shared" si="17"/>
        <v>10486.784152953023</v>
      </c>
      <c r="N135" s="46"/>
      <c r="O135" s="47"/>
      <c r="P135" s="47"/>
      <c r="Q135" s="47"/>
      <c r="R135" s="47"/>
      <c r="S135" s="47"/>
      <c r="T135" s="46"/>
      <c r="U135" s="46"/>
      <c r="V135" s="46"/>
      <c r="W135" s="46"/>
      <c r="X135" s="46"/>
      <c r="Y135" s="46"/>
      <c r="Z135" s="46"/>
      <c r="AA135" s="46"/>
      <c r="AB135" s="46"/>
      <c r="AC135" s="46"/>
      <c r="AD135" s="46"/>
      <c r="AE135" s="46"/>
    </row>
    <row r="136" spans="1:31" ht="13.5">
      <c r="A136" s="22">
        <v>134</v>
      </c>
      <c r="B136" s="8" t="s">
        <v>631</v>
      </c>
      <c r="C136" s="130">
        <f>VLOOKUP(A136,'Source Data'!$A$2:$Q$137,17,FALSE)</f>
        <v>2714.62</v>
      </c>
      <c r="D136" s="9">
        <f t="shared" si="12"/>
        <v>24058802.38</v>
      </c>
      <c r="E136" s="9">
        <f t="shared" si="13"/>
        <v>8862.677789156493</v>
      </c>
      <c r="F136" s="9">
        <f>VLOOKUP(A136,'Source Data'!$A$2:$Q$137,7,FALSE)</f>
        <v>3179682.14</v>
      </c>
      <c r="G136" s="9">
        <f t="shared" si="14"/>
        <v>1171.3175840449126</v>
      </c>
      <c r="H136" s="9">
        <f>VLOOKUP(A136,'Source Data'!$A$2:$Q$137,8,FALSE)</f>
        <v>2473933.48</v>
      </c>
      <c r="I136" s="9">
        <f t="shared" si="15"/>
        <v>911.3369385033633</v>
      </c>
      <c r="J136" s="9">
        <f>VLOOKUP(A136,'Source Data'!$A$2:$Q$137,13,FALSE)</f>
        <v>164280</v>
      </c>
      <c r="K136" s="9">
        <f t="shared" si="16"/>
        <v>60.51675740987689</v>
      </c>
      <c r="L136" s="9">
        <f>VLOOKUP(A136,'Source Data'!$A$2:$Q$137,16,FALSE)</f>
        <v>29876698</v>
      </c>
      <c r="M136" s="9">
        <f t="shared" si="17"/>
        <v>11005.849069114647</v>
      </c>
      <c r="N136" s="46"/>
      <c r="O136" s="47"/>
      <c r="P136" s="47"/>
      <c r="Q136" s="47"/>
      <c r="R136" s="47"/>
      <c r="S136" s="47"/>
      <c r="T136" s="46"/>
      <c r="U136" s="46"/>
      <c r="V136" s="46"/>
      <c r="W136" s="46"/>
      <c r="X136" s="46"/>
      <c r="Y136" s="46"/>
      <c r="Z136" s="46"/>
      <c r="AA136" s="46"/>
      <c r="AB136" s="46"/>
      <c r="AC136" s="46"/>
      <c r="AD136" s="46"/>
      <c r="AE136" s="46"/>
    </row>
    <row r="137" spans="1:31" ht="12.75">
      <c r="A137" s="22">
        <v>135</v>
      </c>
      <c r="B137" s="8" t="s">
        <v>186</v>
      </c>
      <c r="C137" s="130">
        <f>VLOOKUP(A137,'Source Data'!$A$2:$Q$137,17,FALSE)</f>
        <v>1377.86</v>
      </c>
      <c r="D137" s="9">
        <f t="shared" si="12"/>
        <v>4135745.549999998</v>
      </c>
      <c r="E137" s="9">
        <f t="shared" si="13"/>
        <v>3001.571676367699</v>
      </c>
      <c r="F137" s="9">
        <f>VLOOKUP(A137,'Source Data'!$A$2:$Q$137,7,FALSE)</f>
        <v>6611600.090000001</v>
      </c>
      <c r="G137" s="9">
        <f t="shared" si="14"/>
        <v>4798.455641356888</v>
      </c>
      <c r="H137" s="9">
        <f>VLOOKUP(A137,'Source Data'!$A$2:$Q$137,8,FALSE)</f>
        <v>1083428.98</v>
      </c>
      <c r="I137" s="9">
        <f t="shared" si="15"/>
        <v>786.3128184285777</v>
      </c>
      <c r="J137" s="9">
        <f>VLOOKUP(A137,'Source Data'!$A$2:$Q$137,13,FALSE)</f>
        <v>2111433.44</v>
      </c>
      <c r="K137" s="9">
        <f t="shared" si="16"/>
        <v>1532.4005631921966</v>
      </c>
      <c r="L137" s="9">
        <f>VLOOKUP(A137,'Source Data'!$A$2:$Q$137,16,FALSE)</f>
        <v>13942208.059999999</v>
      </c>
      <c r="M137" s="9">
        <f t="shared" si="17"/>
        <v>10118.74069934536</v>
      </c>
      <c r="N137" s="46"/>
      <c r="O137" s="47"/>
      <c r="P137" s="47"/>
      <c r="Q137" s="47"/>
      <c r="R137" s="47"/>
      <c r="S137" s="47"/>
      <c r="T137" s="46"/>
      <c r="U137" s="46"/>
      <c r="V137" s="46"/>
      <c r="W137" s="46"/>
      <c r="X137" s="46"/>
      <c r="Y137" s="46"/>
      <c r="Z137" s="46"/>
      <c r="AA137" s="46"/>
      <c r="AB137" s="46"/>
      <c r="AC137" s="46"/>
      <c r="AD137" s="46"/>
      <c r="AE137" s="46"/>
    </row>
    <row r="138" spans="1:31" ht="12.75">
      <c r="A138" s="22">
        <v>136</v>
      </c>
      <c r="B138" s="8" t="s">
        <v>252</v>
      </c>
      <c r="C138" s="130">
        <f>VLOOKUP(A138,'Source Data'!$A$2:$Q$137,17,FALSE)</f>
        <v>40124.5</v>
      </c>
      <c r="D138" s="9">
        <f t="shared" si="12"/>
        <v>138968750.4599996</v>
      </c>
      <c r="E138" s="9">
        <f t="shared" si="13"/>
        <v>3463.438808209438</v>
      </c>
      <c r="F138" s="9">
        <f>VLOOKUP(A138,'Source Data'!$A$2:$Q$137,7,FALSE)</f>
        <v>144139778.38999996</v>
      </c>
      <c r="G138" s="9">
        <f t="shared" si="14"/>
        <v>3592.313384341237</v>
      </c>
      <c r="H138" s="9">
        <f>VLOOKUP(A138,'Source Data'!$A$2:$Q$137,8,FALSE)</f>
        <v>34644773.15</v>
      </c>
      <c r="I138" s="9">
        <f t="shared" si="15"/>
        <v>863.4318969706787</v>
      </c>
      <c r="J138" s="9">
        <f>VLOOKUP(A138,'Source Data'!$A$2:$Q$137,13,FALSE)</f>
        <v>20860907.26</v>
      </c>
      <c r="K138" s="9">
        <f t="shared" si="16"/>
        <v>519.9044788097049</v>
      </c>
      <c r="L138" s="9">
        <f>VLOOKUP(A138,'Source Data'!$A$2:$Q$137,16,FALSE)</f>
        <v>338614209.2599995</v>
      </c>
      <c r="M138" s="9">
        <f t="shared" si="17"/>
        <v>8439.088568331057</v>
      </c>
      <c r="N138" s="46"/>
      <c r="O138" s="47"/>
      <c r="P138" s="47"/>
      <c r="Q138" s="47"/>
      <c r="R138" s="47"/>
      <c r="S138" s="47"/>
      <c r="T138" s="46"/>
      <c r="U138" s="46"/>
      <c r="V138" s="46"/>
      <c r="W138" s="46"/>
      <c r="X138" s="46"/>
      <c r="Y138" s="46"/>
      <c r="Z138" s="46"/>
      <c r="AA138" s="46"/>
      <c r="AB138" s="46"/>
      <c r="AC138" s="46"/>
      <c r="AD138" s="46"/>
      <c r="AE138" s="46"/>
    </row>
    <row r="139" spans="1:31" ht="12.75">
      <c r="A139" s="22">
        <v>137</v>
      </c>
      <c r="B139" s="8" t="s">
        <v>260</v>
      </c>
      <c r="C139" s="130">
        <f>VLOOKUP(A139,'Source Data'!$A$2:$Q$137,17,FALSE)</f>
        <v>652.89</v>
      </c>
      <c r="D139" s="9">
        <f t="shared" si="12"/>
        <v>1996609.65</v>
      </c>
      <c r="E139" s="9">
        <f t="shared" si="13"/>
        <v>3058.1103248633</v>
      </c>
      <c r="F139" s="9">
        <f>VLOOKUP(A139,'Source Data'!$A$2:$Q$137,7,FALSE)</f>
        <v>2538867.43</v>
      </c>
      <c r="G139" s="9">
        <f t="shared" si="14"/>
        <v>3888.6603103126104</v>
      </c>
      <c r="H139" s="9">
        <f>VLOOKUP(A139,'Source Data'!$A$2:$Q$137,8,FALSE)</f>
        <v>397187.98</v>
      </c>
      <c r="I139" s="9">
        <f t="shared" si="15"/>
        <v>608.3535970837354</v>
      </c>
      <c r="J139" s="9">
        <f>VLOOKUP(A139,'Source Data'!$A$2:$Q$137,13,FALSE)</f>
        <v>272397.44</v>
      </c>
      <c r="K139" s="9">
        <f t="shared" si="16"/>
        <v>417.2179693363354</v>
      </c>
      <c r="L139" s="9">
        <f>VLOOKUP(A139,'Source Data'!$A$2:$Q$137,16,FALSE)</f>
        <v>5205062.5</v>
      </c>
      <c r="M139" s="9">
        <f t="shared" si="17"/>
        <v>7972.342201595981</v>
      </c>
      <c r="N139" s="46"/>
      <c r="O139" s="47"/>
      <c r="P139" s="47"/>
      <c r="Q139" s="47"/>
      <c r="R139" s="47"/>
      <c r="S139" s="47"/>
      <c r="T139" s="46"/>
      <c r="U139" s="46"/>
      <c r="V139" s="46"/>
      <c r="W139" s="46"/>
      <c r="X139" s="46"/>
      <c r="Y139" s="46"/>
      <c r="Z139" s="46"/>
      <c r="AA139" s="46"/>
      <c r="AB139" s="46"/>
      <c r="AC139" s="46"/>
      <c r="AD139" s="46"/>
      <c r="AE139" s="46"/>
    </row>
    <row r="140" spans="1:31" ht="13.5">
      <c r="A140" s="22">
        <v>138</v>
      </c>
      <c r="B140" s="8" t="s">
        <v>635</v>
      </c>
      <c r="C140" s="130">
        <f>VLOOKUP(A140,'Source Data'!$A$2:$Q$137,17,FALSE)</f>
        <v>934.72</v>
      </c>
      <c r="D140" s="9">
        <f t="shared" si="12"/>
        <v>2550588.0000000005</v>
      </c>
      <c r="E140" s="9">
        <f t="shared" si="13"/>
        <v>2728.718760698391</v>
      </c>
      <c r="F140" s="9">
        <f>VLOOKUP(A140,'Source Data'!$A$2:$Q$137,7,FALSE)</f>
        <v>4018731.81</v>
      </c>
      <c r="G140" s="9">
        <f t="shared" si="14"/>
        <v>4299.396407480315</v>
      </c>
      <c r="H140" s="9">
        <f>VLOOKUP(A140,'Source Data'!$A$2:$Q$137,8,FALSE)</f>
        <v>810318.92</v>
      </c>
      <c r="I140" s="9">
        <f t="shared" si="15"/>
        <v>866.9108610065047</v>
      </c>
      <c r="J140" s="9">
        <f>VLOOKUP(A140,'Source Data'!$A$2:$Q$137,13,FALSE)</f>
        <v>684607</v>
      </c>
      <c r="K140" s="9">
        <f t="shared" si="16"/>
        <v>732.4193341321466</v>
      </c>
      <c r="L140" s="9">
        <f>VLOOKUP(A140,'Source Data'!$A$2:$Q$137,16,FALSE)</f>
        <v>8064245.73</v>
      </c>
      <c r="M140" s="9">
        <f t="shared" si="17"/>
        <v>8627.445363317358</v>
      </c>
      <c r="N140" s="46"/>
      <c r="O140" s="47"/>
      <c r="P140" s="47"/>
      <c r="Q140" s="47"/>
      <c r="R140" s="47"/>
      <c r="S140" s="47"/>
      <c r="T140" s="46"/>
      <c r="U140" s="46"/>
      <c r="V140" s="46"/>
      <c r="W140" s="46"/>
      <c r="X140" s="46"/>
      <c r="Y140" s="46"/>
      <c r="Z140" s="46"/>
      <c r="AA140" s="46"/>
      <c r="AB140" s="46"/>
      <c r="AC140" s="46"/>
      <c r="AD140" s="46"/>
      <c r="AE140" s="46"/>
    </row>
    <row r="141" spans="1:31" ht="12.75">
      <c r="A141" s="22">
        <v>139</v>
      </c>
      <c r="B141" s="8" t="s">
        <v>272</v>
      </c>
      <c r="C141" s="130">
        <f>VLOOKUP(A141,'Source Data'!$A$2:$Q$137,17,FALSE)</f>
        <v>3918.17</v>
      </c>
      <c r="D141" s="9">
        <f t="shared" si="12"/>
        <v>15957046.2</v>
      </c>
      <c r="E141" s="9">
        <f t="shared" si="13"/>
        <v>4072.5762792323967</v>
      </c>
      <c r="F141" s="9">
        <f>VLOOKUP(A141,'Source Data'!$A$2:$Q$137,7,FALSE)</f>
        <v>11994993.02</v>
      </c>
      <c r="G141" s="9">
        <f t="shared" si="14"/>
        <v>3061.3763619240613</v>
      </c>
      <c r="H141" s="9">
        <f>VLOOKUP(A141,'Source Data'!$A$2:$Q$137,8,FALSE)</f>
        <v>3201071.66</v>
      </c>
      <c r="I141" s="9">
        <f t="shared" si="15"/>
        <v>816.9813101524436</v>
      </c>
      <c r="J141" s="9">
        <f>VLOOKUP(A141,'Source Data'!$A$2:$Q$137,13,FALSE)</f>
        <v>1705739.12</v>
      </c>
      <c r="K141" s="9">
        <f t="shared" si="16"/>
        <v>435.3407636728371</v>
      </c>
      <c r="L141" s="9">
        <f>VLOOKUP(A141,'Source Data'!$A$2:$Q$137,16,FALSE)</f>
        <v>32858850</v>
      </c>
      <c r="M141" s="9">
        <f t="shared" si="17"/>
        <v>8386.274714981739</v>
      </c>
      <c r="N141" s="46"/>
      <c r="O141" s="47"/>
      <c r="P141" s="47"/>
      <c r="Q141" s="47"/>
      <c r="R141" s="47"/>
      <c r="S141" s="47"/>
      <c r="T141" s="46"/>
      <c r="U141" s="46"/>
      <c r="V141" s="46"/>
      <c r="W141" s="46"/>
      <c r="X141" s="46"/>
      <c r="Y141" s="46"/>
      <c r="Z141" s="46"/>
      <c r="AA141" s="46"/>
      <c r="AB141" s="46"/>
      <c r="AC141" s="46"/>
      <c r="AD141" s="46"/>
      <c r="AE141" s="46"/>
    </row>
    <row r="142" spans="1:31" ht="13.5">
      <c r="A142" s="22">
        <v>140</v>
      </c>
      <c r="B142" s="8" t="s">
        <v>630</v>
      </c>
      <c r="C142" s="130">
        <f>VLOOKUP(A142,'Source Data'!$A$2:$Q$137,17,FALSE)</f>
        <v>909.44</v>
      </c>
      <c r="D142" s="9">
        <f t="shared" si="12"/>
        <v>1635391.8799999994</v>
      </c>
      <c r="E142" s="9">
        <f t="shared" si="13"/>
        <v>1798.240543631245</v>
      </c>
      <c r="F142" s="9">
        <f>VLOOKUP(A142,'Source Data'!$A$2:$Q$137,7,FALSE)</f>
        <v>3412537.22</v>
      </c>
      <c r="G142" s="9">
        <f t="shared" si="14"/>
        <v>3752.3500395847996</v>
      </c>
      <c r="H142" s="9">
        <f>VLOOKUP(A142,'Source Data'!$A$2:$Q$137,8,FALSE)</f>
        <v>774273.9</v>
      </c>
      <c r="I142" s="9">
        <f t="shared" si="15"/>
        <v>851.374362244898</v>
      </c>
      <c r="J142" s="9">
        <f>VLOOKUP(A142,'Source Data'!$A$2:$Q$137,13,FALSE)</f>
        <v>244515</v>
      </c>
      <c r="K142" s="9">
        <f t="shared" si="16"/>
        <v>268.86325650950033</v>
      </c>
      <c r="L142" s="9">
        <f>VLOOKUP(A142,'Source Data'!$A$2:$Q$137,16,FALSE)</f>
        <v>6066718</v>
      </c>
      <c r="M142" s="9">
        <f t="shared" si="17"/>
        <v>6670.828201970443</v>
      </c>
      <c r="N142" s="46"/>
      <c r="O142" s="47"/>
      <c r="P142" s="47"/>
      <c r="Q142" s="47"/>
      <c r="R142" s="47"/>
      <c r="S142" s="47"/>
      <c r="T142" s="46"/>
      <c r="U142" s="46"/>
      <c r="V142" s="46"/>
      <c r="W142" s="46"/>
      <c r="X142" s="46"/>
      <c r="Y142" s="46"/>
      <c r="Z142" s="46"/>
      <c r="AA142" s="46"/>
      <c r="AB142" s="46"/>
      <c r="AC142" s="46"/>
      <c r="AD142" s="46"/>
      <c r="AE142" s="46"/>
    </row>
    <row r="143" spans="1:31" ht="12.75">
      <c r="A143" s="22">
        <v>142</v>
      </c>
      <c r="B143" s="8" t="s">
        <v>269</v>
      </c>
      <c r="C143" s="130">
        <f>VLOOKUP(A143,'Source Data'!$A$2:$Q$137,17,FALSE)</f>
        <v>2568.33</v>
      </c>
      <c r="D143" s="9">
        <f t="shared" si="12"/>
        <v>7054193.190000018</v>
      </c>
      <c r="E143" s="9">
        <f t="shared" si="13"/>
        <v>2746.60701311748</v>
      </c>
      <c r="F143" s="9">
        <f>VLOOKUP(A143,'Source Data'!$A$2:$Q$137,7,FALSE)</f>
        <v>8803423.56</v>
      </c>
      <c r="G143" s="9">
        <f t="shared" si="14"/>
        <v>3427.683965845511</v>
      </c>
      <c r="H143" s="9">
        <f>VLOOKUP(A143,'Source Data'!$A$2:$Q$137,8,FALSE)</f>
        <v>1888202.52</v>
      </c>
      <c r="I143" s="9">
        <f t="shared" si="15"/>
        <v>735.1868801906297</v>
      </c>
      <c r="J143" s="9">
        <f>VLOOKUP(A143,'Source Data'!$A$2:$Q$137,13,FALSE)</f>
        <v>808903.69</v>
      </c>
      <c r="K143" s="9">
        <f t="shared" si="16"/>
        <v>314.9531757990601</v>
      </c>
      <c r="L143" s="9">
        <f>VLOOKUP(A143,'Source Data'!$A$2:$Q$137,16,FALSE)</f>
        <v>18554722.96000002</v>
      </c>
      <c r="M143" s="9">
        <f t="shared" si="17"/>
        <v>7224.431034952681</v>
      </c>
      <c r="N143" s="46"/>
      <c r="O143" s="47"/>
      <c r="P143" s="47"/>
      <c r="Q143" s="47"/>
      <c r="R143" s="47"/>
      <c r="S143" s="47"/>
      <c r="T143" s="46"/>
      <c r="U143" s="46"/>
      <c r="V143" s="46"/>
      <c r="W143" s="46"/>
      <c r="X143" s="46"/>
      <c r="Y143" s="46"/>
      <c r="Z143" s="46"/>
      <c r="AA143" s="46"/>
      <c r="AB143" s="46"/>
      <c r="AC143" s="46"/>
      <c r="AD143" s="46"/>
      <c r="AE143" s="46"/>
    </row>
    <row r="144" spans="1:31" ht="12.75">
      <c r="A144" s="22">
        <v>143</v>
      </c>
      <c r="B144" s="8" t="s">
        <v>262</v>
      </c>
      <c r="C144" s="130">
        <f>VLOOKUP(A144,'Source Data'!$A$2:$Q$137,17,FALSE)</f>
        <v>6611.62</v>
      </c>
      <c r="D144" s="9">
        <f t="shared" si="12"/>
        <v>37358997.289999954</v>
      </c>
      <c r="E144" s="9">
        <f t="shared" si="13"/>
        <v>5650.505820056197</v>
      </c>
      <c r="F144" s="9">
        <f>VLOOKUP(A144,'Source Data'!$A$2:$Q$137,7,FALSE)</f>
        <v>22456729.130000003</v>
      </c>
      <c r="G144" s="9">
        <f t="shared" si="14"/>
        <v>3396.5547218382185</v>
      </c>
      <c r="H144" s="9">
        <f>VLOOKUP(A144,'Source Data'!$A$2:$Q$137,8,FALSE)</f>
        <v>5715902.359999999</v>
      </c>
      <c r="I144" s="9">
        <f t="shared" si="15"/>
        <v>864.5237264089587</v>
      </c>
      <c r="J144" s="9">
        <f>VLOOKUP(A144,'Source Data'!$A$2:$Q$137,13,FALSE)</f>
        <v>2390285.03</v>
      </c>
      <c r="K144" s="9">
        <f t="shared" si="16"/>
        <v>361.5278902901255</v>
      </c>
      <c r="L144" s="9">
        <f>VLOOKUP(A144,'Source Data'!$A$2:$Q$137,16,FALSE)</f>
        <v>67921913.80999996</v>
      </c>
      <c r="M144" s="9">
        <f t="shared" si="17"/>
        <v>10273.1121585935</v>
      </c>
      <c r="N144" s="46"/>
      <c r="O144" s="47"/>
      <c r="P144" s="47"/>
      <c r="Q144" s="47"/>
      <c r="R144" s="47"/>
      <c r="S144" s="47"/>
      <c r="T144" s="46"/>
      <c r="U144" s="46"/>
      <c r="V144" s="46"/>
      <c r="W144" s="46"/>
      <c r="X144" s="46"/>
      <c r="Y144" s="46"/>
      <c r="Z144" s="46"/>
      <c r="AA144" s="46"/>
      <c r="AB144" s="46"/>
      <c r="AC144" s="46"/>
      <c r="AD144" s="46"/>
      <c r="AE144" s="46"/>
    </row>
    <row r="145" spans="1:31" ht="12.75">
      <c r="A145" s="22">
        <v>144</v>
      </c>
      <c r="B145" s="8" t="s">
        <v>263</v>
      </c>
      <c r="C145" s="130">
        <f>VLOOKUP(A145,'Source Data'!$A$2:$Q$137,17,FALSE)</f>
        <v>2328.79</v>
      </c>
      <c r="D145" s="9">
        <f t="shared" si="12"/>
        <v>11036882.309999984</v>
      </c>
      <c r="E145" s="9">
        <f t="shared" si="13"/>
        <v>4739.320552733387</v>
      </c>
      <c r="F145" s="9">
        <f>VLOOKUP(A145,'Source Data'!$A$2:$Q$137,7,FALSE)</f>
        <v>9106036.370000001</v>
      </c>
      <c r="G145" s="9">
        <f t="shared" si="14"/>
        <v>3910.20073514572</v>
      </c>
      <c r="H145" s="9">
        <f>VLOOKUP(A145,'Source Data'!$A$2:$Q$137,8,FALSE)</f>
        <v>1738335</v>
      </c>
      <c r="I145" s="9">
        <f t="shared" si="15"/>
        <v>746.4541671855342</v>
      </c>
      <c r="J145" s="9">
        <f>VLOOKUP(A145,'Source Data'!$A$2:$Q$137,13,FALSE)</f>
        <v>1028482.88</v>
      </c>
      <c r="K145" s="9">
        <f t="shared" si="16"/>
        <v>441.6383100236604</v>
      </c>
      <c r="L145" s="9">
        <f>VLOOKUP(A145,'Source Data'!$A$2:$Q$137,16,FALSE)</f>
        <v>22909736.559999984</v>
      </c>
      <c r="M145" s="9">
        <f t="shared" si="17"/>
        <v>9837.613765088301</v>
      </c>
      <c r="N145" s="46"/>
      <c r="O145" s="47"/>
      <c r="P145" s="47"/>
      <c r="Q145" s="47"/>
      <c r="R145" s="47"/>
      <c r="S145" s="47"/>
      <c r="T145" s="46"/>
      <c r="U145" s="46"/>
      <c r="V145" s="46"/>
      <c r="W145" s="46"/>
      <c r="X145" s="46"/>
      <c r="Y145" s="46"/>
      <c r="Z145" s="46"/>
      <c r="AA145" s="46"/>
      <c r="AB145" s="46"/>
      <c r="AC145" s="46"/>
      <c r="AD145" s="46"/>
      <c r="AE145" s="46"/>
    </row>
    <row r="146" spans="2:31" ht="12.75">
      <c r="B146" s="7" t="s">
        <v>277</v>
      </c>
      <c r="N146" s="46"/>
      <c r="O146" s="47"/>
      <c r="P146" s="47"/>
      <c r="Q146" s="47"/>
      <c r="R146" s="47"/>
      <c r="S146" s="47"/>
      <c r="T146" s="46"/>
      <c r="U146" s="46"/>
      <c r="V146" s="46"/>
      <c r="W146" s="46"/>
      <c r="X146" s="46"/>
      <c r="Y146" s="46"/>
      <c r="Z146" s="46"/>
      <c r="AA146" s="46"/>
      <c r="AB146" s="46"/>
      <c r="AC146" s="46"/>
      <c r="AD146" s="46"/>
      <c r="AE146" s="46"/>
    </row>
    <row r="147" spans="1:31" ht="12.75">
      <c r="A147" s="22">
        <v>202</v>
      </c>
      <c r="B147" s="8" t="s">
        <v>278</v>
      </c>
      <c r="C147" s="130">
        <f>VLOOKUP(A147,'Source Data'!$A$2:$Q$137,17,FALSE)</f>
        <v>571.01</v>
      </c>
      <c r="D147" s="9">
        <f>SUM(L147-J147-H147-F147)</f>
        <v>1529983.7099999953</v>
      </c>
      <c r="E147" s="9">
        <f>SUM(D147/C147)</f>
        <v>2679.434178035403</v>
      </c>
      <c r="F147" s="9">
        <f>VLOOKUP(A147,'Source Data'!$A$2:$Q$137,7,FALSE)</f>
        <v>2720231.71</v>
      </c>
      <c r="G147" s="9">
        <f>SUM(F147/C147)</f>
        <v>4763.895045620918</v>
      </c>
      <c r="H147" s="9">
        <f>VLOOKUP(A147,'Source Data'!$A$2:$Q$137,8,FALSE)</f>
        <v>394414.72</v>
      </c>
      <c r="I147" s="9">
        <f>SUM(H147/C147)</f>
        <v>690.7317209856219</v>
      </c>
      <c r="J147" s="9">
        <f>VLOOKUP(A147,'Source Data'!$A$2:$Q$137,13,FALSE)</f>
        <v>918581.99</v>
      </c>
      <c r="K147" s="9">
        <f>SUM(J147/C147)</f>
        <v>1608.696852944782</v>
      </c>
      <c r="L147" s="9">
        <f>VLOOKUP(A147,'Source Data'!$A$2:$Q$137,16,FALSE)</f>
        <v>5563212.129999995</v>
      </c>
      <c r="M147" s="9">
        <f>SUM(L147/C147)</f>
        <v>9742.757797586724</v>
      </c>
      <c r="N147" s="46"/>
      <c r="O147" s="47"/>
      <c r="P147" s="47"/>
      <c r="Q147" s="47"/>
      <c r="R147" s="47"/>
      <c r="S147" s="47"/>
      <c r="T147" s="46"/>
      <c r="U147" s="46"/>
      <c r="V147" s="46"/>
      <c r="W147" s="46"/>
      <c r="X147" s="46"/>
      <c r="Y147" s="46"/>
      <c r="Z147" s="46"/>
      <c r="AA147" s="46"/>
      <c r="AB147" s="46"/>
      <c r="AC147" s="46"/>
      <c r="AD147" s="46"/>
      <c r="AE147" s="46"/>
    </row>
    <row r="148" spans="1:31" ht="12.75">
      <c r="A148" s="22">
        <v>207</v>
      </c>
      <c r="B148" s="8" t="s">
        <v>279</v>
      </c>
      <c r="C148" s="130">
        <f>VLOOKUP(A148,'Source Data'!$A$2:$Q$137,17,FALSE)</f>
        <v>796.78</v>
      </c>
      <c r="D148" s="9">
        <f>SUM(L148-J148-H148-F148)</f>
        <v>3331398.1000000024</v>
      </c>
      <c r="E148" s="9">
        <f>SUM(D148/C148)</f>
        <v>4181.076457742416</v>
      </c>
      <c r="F148" s="9">
        <f>VLOOKUP(A148,'Source Data'!$A$2:$Q$137,7,FALSE)</f>
        <v>3426748.55</v>
      </c>
      <c r="G148" s="9">
        <f>SUM(F148/C148)</f>
        <v>4300.746190918447</v>
      </c>
      <c r="H148" s="9">
        <f>VLOOKUP(A148,'Source Data'!$A$2:$Q$137,8,FALSE)</f>
        <v>489380.16</v>
      </c>
      <c r="I148" s="9">
        <f>SUM(H148/C148)</f>
        <v>614.1973443108511</v>
      </c>
      <c r="J148" s="9">
        <f>VLOOKUP(A148,'Source Data'!$A$2:$Q$137,13,FALSE)</f>
        <v>316806.8</v>
      </c>
      <c r="K148" s="9">
        <f>SUM(J148/C148)</f>
        <v>397.6088757247923</v>
      </c>
      <c r="L148" s="9">
        <f>VLOOKUP(A148,'Source Data'!$A$2:$Q$137,16,FALSE)</f>
        <v>7564333.610000002</v>
      </c>
      <c r="M148" s="9">
        <f>SUM(L148/C148)</f>
        <v>9493.628868696507</v>
      </c>
      <c r="N148" s="46"/>
      <c r="O148" s="47"/>
      <c r="P148" s="47"/>
      <c r="Q148" s="47"/>
      <c r="R148" s="47"/>
      <c r="S148" s="47"/>
      <c r="T148" s="46"/>
      <c r="U148" s="46"/>
      <c r="V148" s="46"/>
      <c r="W148" s="46"/>
      <c r="X148" s="46"/>
      <c r="Y148" s="46"/>
      <c r="Z148" s="46"/>
      <c r="AA148" s="46"/>
      <c r="AB148" s="46"/>
      <c r="AC148" s="46"/>
      <c r="AD148" s="46"/>
      <c r="AE148" s="46"/>
    </row>
    <row r="149" spans="4:31" ht="12.75">
      <c r="D149" s="24"/>
      <c r="E149" s="24"/>
      <c r="F149" s="24"/>
      <c r="G149" s="24"/>
      <c r="H149" s="24"/>
      <c r="I149" s="24"/>
      <c r="J149" s="24"/>
      <c r="K149" s="24"/>
      <c r="L149" s="24"/>
      <c r="M149" s="24"/>
      <c r="N149" s="46"/>
      <c r="O149" s="47"/>
      <c r="P149" s="47"/>
      <c r="Q149" s="47"/>
      <c r="R149" s="47"/>
      <c r="S149" s="47"/>
      <c r="T149" s="46"/>
      <c r="U149" s="46"/>
      <c r="V149" s="46"/>
      <c r="W149" s="46"/>
      <c r="X149" s="46"/>
      <c r="Y149" s="46"/>
      <c r="Z149" s="46"/>
      <c r="AA149" s="46"/>
      <c r="AB149" s="46"/>
      <c r="AC149" s="46"/>
      <c r="AD149" s="46"/>
      <c r="AE149" s="46"/>
    </row>
    <row r="150" spans="1:31" ht="12.75">
      <c r="A150" s="23"/>
      <c r="B150" s="25" t="s">
        <v>628</v>
      </c>
      <c r="C150" s="131">
        <f>SUM(C11:C148)</f>
        <v>1178704.1600000004</v>
      </c>
      <c r="D150" s="27">
        <f aca="true" t="shared" si="18" ref="D150:L150">SUM(D11:D148)</f>
        <v>5350178843.189999</v>
      </c>
      <c r="E150" s="27">
        <f>ROUND(D150/$C$150,0)</f>
        <v>4539</v>
      </c>
      <c r="F150" s="28">
        <f t="shared" si="18"/>
        <v>3717388928.0800004</v>
      </c>
      <c r="G150" s="28">
        <f>ROUND(F150/$C$150,0)</f>
        <v>3154</v>
      </c>
      <c r="H150" s="28">
        <f t="shared" si="18"/>
        <v>1005038160.1999999</v>
      </c>
      <c r="I150" s="28">
        <f>ROUND(H150/$C$150,0)</f>
        <v>853</v>
      </c>
      <c r="J150" s="29">
        <f t="shared" si="18"/>
        <v>773814529.9700001</v>
      </c>
      <c r="K150" s="29">
        <f>ROUND(J150/$C$150,0)</f>
        <v>656</v>
      </c>
      <c r="L150" s="26">
        <f t="shared" si="18"/>
        <v>10846420461.439995</v>
      </c>
      <c r="M150" s="26">
        <f>ROUND(L150/$C$150,0)</f>
        <v>9202</v>
      </c>
      <c r="N150" s="46"/>
      <c r="O150" s="47"/>
      <c r="P150" s="47"/>
      <c r="Q150" s="47"/>
      <c r="R150" s="47"/>
      <c r="S150" s="47"/>
      <c r="T150" s="46"/>
      <c r="U150" s="46"/>
      <c r="V150" s="46"/>
      <c r="W150" s="46"/>
      <c r="X150" s="46"/>
      <c r="Y150" s="46"/>
      <c r="Z150" s="46"/>
      <c r="AA150" s="46"/>
      <c r="AB150" s="46"/>
      <c r="AC150" s="46"/>
      <c r="AD150" s="46"/>
      <c r="AE150" s="46"/>
    </row>
    <row r="151" spans="1:256" s="7" customFormat="1" ht="12.75">
      <c r="A151" s="51"/>
      <c r="B151" s="52"/>
      <c r="C151" s="53"/>
      <c r="D151" s="53"/>
      <c r="E151" s="53"/>
      <c r="F151" s="53"/>
      <c r="G151" s="53"/>
      <c r="H151" s="53"/>
      <c r="I151" s="53"/>
      <c r="J151" s="53"/>
      <c r="K151" s="53"/>
      <c r="L151" s="53"/>
      <c r="M151" s="54"/>
      <c r="N151" s="46"/>
      <c r="O151" s="47"/>
      <c r="P151" s="47"/>
      <c r="Q151" s="47"/>
      <c r="R151" s="47"/>
      <c r="S151" s="47"/>
      <c r="T151" s="46"/>
      <c r="U151" s="46"/>
      <c r="V151" s="46"/>
      <c r="W151" s="46"/>
      <c r="X151" s="46"/>
      <c r="Y151" s="46"/>
      <c r="Z151" s="46"/>
      <c r="AA151" s="46"/>
      <c r="AB151" s="46"/>
      <c r="AC151" s="46"/>
      <c r="AD151" s="46"/>
      <c r="AE151" s="46"/>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c r="HF151" s="8"/>
      <c r="HG151" s="8"/>
      <c r="HH151" s="8"/>
      <c r="HI151" s="8"/>
      <c r="HJ151" s="8"/>
      <c r="HK151" s="8"/>
      <c r="HL151" s="8"/>
      <c r="HM151" s="8"/>
      <c r="HN151" s="8"/>
      <c r="HO151" s="8"/>
      <c r="HP151" s="8"/>
      <c r="HQ151" s="8"/>
      <c r="HR151" s="8"/>
      <c r="HS151" s="8"/>
      <c r="HT151" s="8"/>
      <c r="HU151" s="8"/>
      <c r="HV151" s="8"/>
      <c r="HW151" s="8"/>
      <c r="HX151" s="8"/>
      <c r="HY151" s="8"/>
      <c r="HZ151" s="8"/>
      <c r="IA151" s="8"/>
      <c r="IB151" s="8"/>
      <c r="IC151" s="8"/>
      <c r="ID151" s="8"/>
      <c r="IE151" s="8"/>
      <c r="IF151" s="8"/>
      <c r="IG151" s="8"/>
      <c r="IH151" s="8"/>
      <c r="II151" s="8"/>
      <c r="IJ151" s="8"/>
      <c r="IK151" s="8"/>
      <c r="IL151" s="8"/>
      <c r="IM151" s="8"/>
      <c r="IN151" s="8"/>
      <c r="IO151" s="8"/>
      <c r="IP151" s="8"/>
      <c r="IQ151" s="8"/>
      <c r="IR151" s="8"/>
      <c r="IS151" s="8"/>
      <c r="IT151" s="8"/>
      <c r="IU151" s="8"/>
      <c r="IV151" s="8"/>
    </row>
    <row r="152" spans="1:31" ht="45" customHeight="1">
      <c r="A152" s="178" t="s">
        <v>447</v>
      </c>
      <c r="B152" s="181"/>
      <c r="C152" s="181"/>
      <c r="D152" s="181"/>
      <c r="E152" s="181"/>
      <c r="F152" s="181"/>
      <c r="G152" s="181"/>
      <c r="H152" s="181"/>
      <c r="I152" s="181"/>
      <c r="J152" s="181"/>
      <c r="K152" s="181"/>
      <c r="L152" s="181"/>
      <c r="M152" s="182"/>
      <c r="N152" s="46"/>
      <c r="O152" s="47"/>
      <c r="P152" s="47"/>
      <c r="Q152" s="47"/>
      <c r="R152" s="47"/>
      <c r="S152" s="47"/>
      <c r="T152" s="46"/>
      <c r="U152" s="46"/>
      <c r="V152" s="46"/>
      <c r="W152" s="46"/>
      <c r="X152" s="46"/>
      <c r="Y152" s="46"/>
      <c r="Z152" s="46"/>
      <c r="AA152" s="46"/>
      <c r="AB152" s="46"/>
      <c r="AC152" s="46"/>
      <c r="AD152" s="46"/>
      <c r="AE152" s="46"/>
    </row>
    <row r="153" spans="1:31" ht="30" customHeight="1">
      <c r="A153" s="178" t="s">
        <v>621</v>
      </c>
      <c r="B153" s="179"/>
      <c r="C153" s="179"/>
      <c r="D153" s="179"/>
      <c r="E153" s="179"/>
      <c r="F153" s="179"/>
      <c r="G153" s="179"/>
      <c r="H153" s="179"/>
      <c r="I153" s="179"/>
      <c r="J153" s="179"/>
      <c r="K153" s="179"/>
      <c r="L153" s="179"/>
      <c r="M153" s="180"/>
      <c r="N153" s="46"/>
      <c r="O153" s="47"/>
      <c r="P153" s="47"/>
      <c r="Q153" s="47"/>
      <c r="R153" s="47"/>
      <c r="S153" s="47"/>
      <c r="T153" s="46"/>
      <c r="U153" s="46"/>
      <c r="V153" s="46"/>
      <c r="W153" s="46"/>
      <c r="X153" s="46"/>
      <c r="Y153" s="46"/>
      <c r="Z153" s="46"/>
      <c r="AA153" s="46"/>
      <c r="AB153" s="46"/>
      <c r="AC153" s="46"/>
      <c r="AD153" s="46"/>
      <c r="AE153" s="46"/>
    </row>
    <row r="154" spans="1:31" ht="15" customHeight="1">
      <c r="A154" s="57" t="s">
        <v>622</v>
      </c>
      <c r="B154" s="55"/>
      <c r="C154" s="10"/>
      <c r="D154" s="10"/>
      <c r="E154" s="10"/>
      <c r="F154" s="10"/>
      <c r="G154" s="10"/>
      <c r="H154" s="10"/>
      <c r="I154" s="10"/>
      <c r="J154" s="10"/>
      <c r="K154" s="10"/>
      <c r="L154" s="10"/>
      <c r="M154" s="56"/>
      <c r="N154" s="46"/>
      <c r="O154" s="47"/>
      <c r="P154" s="47"/>
      <c r="Q154" s="47"/>
      <c r="R154" s="47"/>
      <c r="S154" s="47"/>
      <c r="T154" s="46"/>
      <c r="U154" s="46"/>
      <c r="V154" s="46"/>
      <c r="W154" s="46"/>
      <c r="X154" s="46"/>
      <c r="Y154" s="46"/>
      <c r="Z154" s="46"/>
      <c r="AA154" s="46"/>
      <c r="AB154" s="46"/>
      <c r="AC154" s="46"/>
      <c r="AD154" s="46"/>
      <c r="AE154" s="46"/>
    </row>
    <row r="155" spans="1:31" ht="15" customHeight="1">
      <c r="A155" s="57" t="s">
        <v>623</v>
      </c>
      <c r="B155" s="55"/>
      <c r="C155" s="10"/>
      <c r="D155" s="10"/>
      <c r="E155" s="10"/>
      <c r="F155" s="10"/>
      <c r="G155" s="10"/>
      <c r="H155" s="10"/>
      <c r="I155" s="10"/>
      <c r="J155" s="10"/>
      <c r="K155" s="10"/>
      <c r="L155" s="10"/>
      <c r="M155" s="56"/>
      <c r="N155" s="46"/>
      <c r="O155" s="47"/>
      <c r="P155" s="47"/>
      <c r="Q155" s="47"/>
      <c r="R155" s="47"/>
      <c r="S155" s="47"/>
      <c r="T155" s="46"/>
      <c r="U155" s="46"/>
      <c r="V155" s="46"/>
      <c r="W155" s="46"/>
      <c r="X155" s="46"/>
      <c r="Y155" s="46"/>
      <c r="Z155" s="46"/>
      <c r="AA155" s="46"/>
      <c r="AB155" s="46"/>
      <c r="AC155" s="46"/>
      <c r="AD155" s="46"/>
      <c r="AE155" s="46"/>
    </row>
    <row r="156" spans="1:31" ht="15" customHeight="1">
      <c r="A156" s="57" t="s">
        <v>625</v>
      </c>
      <c r="B156" s="55"/>
      <c r="C156" s="10"/>
      <c r="D156" s="10"/>
      <c r="E156" s="10"/>
      <c r="F156" s="10"/>
      <c r="G156" s="10"/>
      <c r="H156" s="10"/>
      <c r="I156" s="10"/>
      <c r="J156" s="10"/>
      <c r="K156" s="10"/>
      <c r="L156" s="10"/>
      <c r="M156" s="56"/>
      <c r="N156" s="46"/>
      <c r="O156" s="47"/>
      <c r="P156" s="47"/>
      <c r="Q156" s="47"/>
      <c r="R156" s="47"/>
      <c r="S156" s="47"/>
      <c r="T156" s="46"/>
      <c r="U156" s="46"/>
      <c r="V156" s="46"/>
      <c r="W156" s="46"/>
      <c r="X156" s="46"/>
      <c r="Y156" s="46"/>
      <c r="Z156" s="46"/>
      <c r="AA156" s="46"/>
      <c r="AB156" s="46"/>
      <c r="AC156" s="46"/>
      <c r="AD156" s="46"/>
      <c r="AE156" s="46"/>
    </row>
    <row r="157" spans="1:31" ht="30" customHeight="1">
      <c r="A157" s="175" t="s">
        <v>629</v>
      </c>
      <c r="B157" s="176"/>
      <c r="C157" s="176"/>
      <c r="D157" s="176"/>
      <c r="E157" s="176"/>
      <c r="F157" s="176"/>
      <c r="G157" s="176"/>
      <c r="H157" s="176"/>
      <c r="I157" s="176"/>
      <c r="J157" s="176"/>
      <c r="K157" s="176"/>
      <c r="L157" s="176"/>
      <c r="M157" s="177"/>
      <c r="N157" s="46"/>
      <c r="O157" s="47"/>
      <c r="P157" s="47"/>
      <c r="Q157" s="47"/>
      <c r="R157" s="47"/>
      <c r="S157" s="47"/>
      <c r="T157" s="46"/>
      <c r="U157" s="46"/>
      <c r="V157" s="46"/>
      <c r="W157" s="46"/>
      <c r="X157" s="46"/>
      <c r="Y157" s="46"/>
      <c r="Z157" s="46"/>
      <c r="AA157" s="46"/>
      <c r="AB157" s="46"/>
      <c r="AC157" s="46"/>
      <c r="AD157" s="46"/>
      <c r="AE157" s="46"/>
    </row>
    <row r="158" spans="1:31" ht="12.75">
      <c r="A158" s="48"/>
      <c r="B158" s="46"/>
      <c r="C158" s="49"/>
      <c r="D158" s="49"/>
      <c r="E158" s="49"/>
      <c r="F158" s="49"/>
      <c r="G158" s="49"/>
      <c r="H158" s="49"/>
      <c r="I158" s="49"/>
      <c r="J158" s="49"/>
      <c r="K158" s="49"/>
      <c r="L158" s="49"/>
      <c r="M158" s="49"/>
      <c r="N158" s="46"/>
      <c r="O158" s="47"/>
      <c r="P158" s="47"/>
      <c r="Q158" s="47"/>
      <c r="R158" s="47"/>
      <c r="S158" s="47"/>
      <c r="T158" s="46"/>
      <c r="U158" s="46"/>
      <c r="V158" s="46"/>
      <c r="W158" s="46"/>
      <c r="X158" s="46"/>
      <c r="Y158" s="46"/>
      <c r="Z158" s="46"/>
      <c r="AA158" s="46"/>
      <c r="AB158" s="46"/>
      <c r="AC158" s="46"/>
      <c r="AD158" s="46"/>
      <c r="AE158" s="46"/>
    </row>
    <row r="159" spans="1:31" ht="12.75">
      <c r="A159" s="50"/>
      <c r="B159" s="46"/>
      <c r="C159" s="49"/>
      <c r="D159" s="49"/>
      <c r="E159" s="49"/>
      <c r="F159" s="49"/>
      <c r="G159" s="49"/>
      <c r="H159" s="49"/>
      <c r="I159" s="49"/>
      <c r="J159" s="49"/>
      <c r="K159" s="49"/>
      <c r="L159" s="49"/>
      <c r="M159" s="49"/>
      <c r="N159" s="46"/>
      <c r="O159" s="47"/>
      <c r="P159" s="47"/>
      <c r="Q159" s="47"/>
      <c r="R159" s="47"/>
      <c r="S159" s="47"/>
      <c r="T159" s="46"/>
      <c r="U159" s="46"/>
      <c r="V159" s="46"/>
      <c r="W159" s="46"/>
      <c r="X159" s="46"/>
      <c r="Y159" s="46"/>
      <c r="Z159" s="46"/>
      <c r="AA159" s="46"/>
      <c r="AB159" s="46"/>
      <c r="AC159" s="46"/>
      <c r="AD159" s="46"/>
      <c r="AE159" s="46"/>
    </row>
    <row r="160" spans="1:31" ht="12.75">
      <c r="A160" s="50"/>
      <c r="B160" s="46"/>
      <c r="C160" s="49"/>
      <c r="D160" s="49"/>
      <c r="E160" s="49"/>
      <c r="F160" s="49"/>
      <c r="G160" s="49"/>
      <c r="H160" s="49"/>
      <c r="I160" s="49"/>
      <c r="J160" s="49"/>
      <c r="K160" s="49"/>
      <c r="L160" s="49"/>
      <c r="M160" s="49"/>
      <c r="N160" s="46"/>
      <c r="O160" s="47"/>
      <c r="P160" s="47"/>
      <c r="Q160" s="47"/>
      <c r="R160" s="47"/>
      <c r="S160" s="47"/>
      <c r="T160" s="46"/>
      <c r="U160" s="46"/>
      <c r="V160" s="46"/>
      <c r="W160" s="46"/>
      <c r="X160" s="46"/>
      <c r="Y160" s="46"/>
      <c r="Z160" s="46"/>
      <c r="AA160" s="46"/>
      <c r="AB160" s="46"/>
      <c r="AC160" s="46"/>
      <c r="AD160" s="46"/>
      <c r="AE160" s="46"/>
    </row>
    <row r="161" spans="1:31" ht="12.75">
      <c r="A161" s="50"/>
      <c r="B161" s="46"/>
      <c r="C161" s="49"/>
      <c r="D161" s="49"/>
      <c r="E161" s="49"/>
      <c r="F161" s="49"/>
      <c r="G161" s="49"/>
      <c r="H161" s="49"/>
      <c r="I161" s="49"/>
      <c r="J161" s="49"/>
      <c r="K161" s="49"/>
      <c r="L161" s="49"/>
      <c r="M161" s="49"/>
      <c r="N161" s="46"/>
      <c r="O161" s="47"/>
      <c r="P161" s="47"/>
      <c r="Q161" s="47"/>
      <c r="R161" s="47"/>
      <c r="S161" s="47"/>
      <c r="T161" s="46"/>
      <c r="U161" s="46"/>
      <c r="V161" s="46"/>
      <c r="W161" s="46"/>
      <c r="X161" s="46"/>
      <c r="Y161" s="46"/>
      <c r="Z161" s="46"/>
      <c r="AA161" s="46"/>
      <c r="AB161" s="46"/>
      <c r="AC161" s="46"/>
      <c r="AD161" s="46"/>
      <c r="AE161" s="46"/>
    </row>
    <row r="162" spans="1:31" ht="12.75">
      <c r="A162" s="50"/>
      <c r="B162" s="46"/>
      <c r="C162" s="49"/>
      <c r="D162" s="49"/>
      <c r="E162" s="49"/>
      <c r="F162" s="49"/>
      <c r="G162" s="49"/>
      <c r="H162" s="49"/>
      <c r="I162" s="49"/>
      <c r="J162" s="49"/>
      <c r="K162" s="49"/>
      <c r="L162" s="49"/>
      <c r="M162" s="49"/>
      <c r="N162" s="46"/>
      <c r="O162" s="47"/>
      <c r="P162" s="47"/>
      <c r="Q162" s="47"/>
      <c r="R162" s="47"/>
      <c r="S162" s="47"/>
      <c r="T162" s="46"/>
      <c r="U162" s="46"/>
      <c r="V162" s="46"/>
      <c r="W162" s="46"/>
      <c r="X162" s="46"/>
      <c r="Y162" s="46"/>
      <c r="Z162" s="46"/>
      <c r="AA162" s="46"/>
      <c r="AB162" s="46"/>
      <c r="AC162" s="46"/>
      <c r="AD162" s="46"/>
      <c r="AE162" s="46"/>
    </row>
    <row r="163" spans="1:31" ht="12.75">
      <c r="A163" s="50"/>
      <c r="B163" s="46"/>
      <c r="C163" s="49"/>
      <c r="D163" s="49"/>
      <c r="E163" s="49"/>
      <c r="F163" s="49"/>
      <c r="G163" s="49"/>
      <c r="H163" s="49"/>
      <c r="I163" s="49"/>
      <c r="J163" s="49"/>
      <c r="K163" s="49"/>
      <c r="L163" s="49"/>
      <c r="M163" s="49"/>
      <c r="N163" s="46"/>
      <c r="O163" s="47"/>
      <c r="P163" s="47"/>
      <c r="Q163" s="47"/>
      <c r="R163" s="47"/>
      <c r="S163" s="47"/>
      <c r="T163" s="46"/>
      <c r="U163" s="46"/>
      <c r="V163" s="46"/>
      <c r="W163" s="46"/>
      <c r="X163" s="46"/>
      <c r="Y163" s="46"/>
      <c r="Z163" s="46"/>
      <c r="AA163" s="46"/>
      <c r="AB163" s="46"/>
      <c r="AC163" s="46"/>
      <c r="AD163" s="46"/>
      <c r="AE163" s="46"/>
    </row>
    <row r="164" spans="1:31" ht="12.75">
      <c r="A164" s="50"/>
      <c r="B164" s="46"/>
      <c r="C164" s="49"/>
      <c r="D164" s="49"/>
      <c r="E164" s="49"/>
      <c r="F164" s="49"/>
      <c r="G164" s="49"/>
      <c r="H164" s="49"/>
      <c r="I164" s="49"/>
      <c r="J164" s="49"/>
      <c r="K164" s="49"/>
      <c r="L164" s="49"/>
      <c r="M164" s="49"/>
      <c r="N164" s="46"/>
      <c r="O164" s="47"/>
      <c r="P164" s="47"/>
      <c r="Q164" s="47"/>
      <c r="R164" s="47"/>
      <c r="S164" s="47"/>
      <c r="T164" s="46"/>
      <c r="U164" s="46"/>
      <c r="V164" s="46"/>
      <c r="W164" s="46"/>
      <c r="X164" s="46"/>
      <c r="Y164" s="46"/>
      <c r="Z164" s="46"/>
      <c r="AA164" s="46"/>
      <c r="AB164" s="46"/>
      <c r="AC164" s="46"/>
      <c r="AD164" s="46"/>
      <c r="AE164" s="46"/>
    </row>
    <row r="165" spans="1:31" ht="12.75">
      <c r="A165" s="50"/>
      <c r="B165" s="46"/>
      <c r="C165" s="49"/>
      <c r="D165" s="49"/>
      <c r="E165" s="49"/>
      <c r="F165" s="49"/>
      <c r="G165" s="49"/>
      <c r="H165" s="49"/>
      <c r="I165" s="49"/>
      <c r="J165" s="49"/>
      <c r="K165" s="49"/>
      <c r="L165" s="49"/>
      <c r="M165" s="49"/>
      <c r="N165" s="46"/>
      <c r="O165" s="47"/>
      <c r="P165" s="47"/>
      <c r="Q165" s="47"/>
      <c r="R165" s="47"/>
      <c r="S165" s="47"/>
      <c r="T165" s="46"/>
      <c r="U165" s="46"/>
      <c r="V165" s="46"/>
      <c r="W165" s="46"/>
      <c r="X165" s="46"/>
      <c r="Y165" s="46"/>
      <c r="Z165" s="46"/>
      <c r="AA165" s="46"/>
      <c r="AB165" s="46"/>
      <c r="AC165" s="46"/>
      <c r="AD165" s="46"/>
      <c r="AE165" s="46"/>
    </row>
    <row r="166" spans="1:31" ht="12.75">
      <c r="A166" s="50"/>
      <c r="B166" s="46"/>
      <c r="C166" s="49"/>
      <c r="D166" s="49"/>
      <c r="E166" s="49"/>
      <c r="F166" s="49"/>
      <c r="G166" s="49"/>
      <c r="H166" s="49"/>
      <c r="I166" s="49"/>
      <c r="J166" s="49"/>
      <c r="K166" s="49"/>
      <c r="L166" s="49"/>
      <c r="M166" s="49"/>
      <c r="N166" s="46"/>
      <c r="O166" s="47"/>
      <c r="P166" s="47"/>
      <c r="Q166" s="47"/>
      <c r="R166" s="47"/>
      <c r="S166" s="47"/>
      <c r="T166" s="46"/>
      <c r="U166" s="46"/>
      <c r="V166" s="46"/>
      <c r="W166" s="46"/>
      <c r="X166" s="46"/>
      <c r="Y166" s="46"/>
      <c r="Z166" s="46"/>
      <c r="AA166" s="46"/>
      <c r="AB166" s="46"/>
      <c r="AC166" s="46"/>
      <c r="AD166" s="46"/>
      <c r="AE166" s="46"/>
    </row>
    <row r="167" spans="1:31" ht="12.75">
      <c r="A167" s="50"/>
      <c r="B167" s="46"/>
      <c r="C167" s="49"/>
      <c r="D167" s="49"/>
      <c r="E167" s="49"/>
      <c r="F167" s="49"/>
      <c r="G167" s="49"/>
      <c r="H167" s="49"/>
      <c r="I167" s="49"/>
      <c r="J167" s="49"/>
      <c r="K167" s="49"/>
      <c r="L167" s="49"/>
      <c r="M167" s="49"/>
      <c r="N167" s="46"/>
      <c r="O167" s="47"/>
      <c r="P167" s="47"/>
      <c r="Q167" s="47"/>
      <c r="R167" s="47"/>
      <c r="S167" s="47"/>
      <c r="T167" s="46"/>
      <c r="U167" s="46"/>
      <c r="V167" s="46"/>
      <c r="W167" s="46"/>
      <c r="X167" s="46"/>
      <c r="Y167" s="46"/>
      <c r="Z167" s="46"/>
      <c r="AA167" s="46"/>
      <c r="AB167" s="46"/>
      <c r="AC167" s="46"/>
      <c r="AD167" s="46"/>
      <c r="AE167" s="46"/>
    </row>
    <row r="168" spans="1:31" ht="12.75">
      <c r="A168" s="50"/>
      <c r="B168" s="46"/>
      <c r="C168" s="49"/>
      <c r="D168" s="49"/>
      <c r="E168" s="49"/>
      <c r="F168" s="49"/>
      <c r="G168" s="49"/>
      <c r="H168" s="49"/>
      <c r="I168" s="49"/>
      <c r="J168" s="49"/>
      <c r="K168" s="49"/>
      <c r="L168" s="49"/>
      <c r="M168" s="49"/>
      <c r="N168" s="46"/>
      <c r="O168" s="47"/>
      <c r="P168" s="47"/>
      <c r="Q168" s="47"/>
      <c r="R168" s="47"/>
      <c r="S168" s="47"/>
      <c r="T168" s="46"/>
      <c r="U168" s="46"/>
      <c r="V168" s="46"/>
      <c r="W168" s="46"/>
      <c r="X168" s="46"/>
      <c r="Y168" s="46"/>
      <c r="Z168" s="46"/>
      <c r="AA168" s="46"/>
      <c r="AB168" s="46"/>
      <c r="AC168" s="46"/>
      <c r="AD168" s="46"/>
      <c r="AE168" s="46"/>
    </row>
    <row r="169" spans="1:31" ht="12.75">
      <c r="A169" s="50"/>
      <c r="B169" s="46"/>
      <c r="C169" s="49"/>
      <c r="D169" s="49"/>
      <c r="E169" s="49"/>
      <c r="F169" s="49"/>
      <c r="G169" s="49"/>
      <c r="H169" s="49"/>
      <c r="I169" s="49"/>
      <c r="J169" s="49"/>
      <c r="K169" s="49"/>
      <c r="L169" s="49"/>
      <c r="M169" s="49"/>
      <c r="N169" s="46"/>
      <c r="O169" s="47"/>
      <c r="P169" s="47"/>
      <c r="Q169" s="47"/>
      <c r="R169" s="47"/>
      <c r="S169" s="47"/>
      <c r="T169" s="46"/>
      <c r="U169" s="46"/>
      <c r="V169" s="46"/>
      <c r="W169" s="46"/>
      <c r="X169" s="46"/>
      <c r="Y169" s="46"/>
      <c r="Z169" s="46"/>
      <c r="AA169" s="46"/>
      <c r="AB169" s="46"/>
      <c r="AC169" s="46"/>
      <c r="AD169" s="46"/>
      <c r="AE169" s="46"/>
    </row>
    <row r="170" spans="1:31" ht="12.75">
      <c r="A170" s="50"/>
      <c r="B170" s="46"/>
      <c r="C170" s="49"/>
      <c r="D170" s="49"/>
      <c r="E170" s="49"/>
      <c r="F170" s="49"/>
      <c r="G170" s="49"/>
      <c r="H170" s="49"/>
      <c r="I170" s="49"/>
      <c r="J170" s="49"/>
      <c r="K170" s="49"/>
      <c r="L170" s="49"/>
      <c r="M170" s="49"/>
      <c r="N170" s="46"/>
      <c r="O170" s="47"/>
      <c r="P170" s="47"/>
      <c r="Q170" s="47"/>
      <c r="R170" s="47"/>
      <c r="S170" s="47"/>
      <c r="T170" s="46"/>
      <c r="U170" s="46"/>
      <c r="V170" s="46"/>
      <c r="W170" s="46"/>
      <c r="X170" s="46"/>
      <c r="Y170" s="46"/>
      <c r="Z170" s="46"/>
      <c r="AA170" s="46"/>
      <c r="AB170" s="46"/>
      <c r="AC170" s="46"/>
      <c r="AD170" s="46"/>
      <c r="AE170" s="46"/>
    </row>
    <row r="171" spans="1:31" ht="12.75">
      <c r="A171" s="50"/>
      <c r="B171" s="46"/>
      <c r="C171" s="49"/>
      <c r="D171" s="49"/>
      <c r="E171" s="49"/>
      <c r="F171" s="49"/>
      <c r="G171" s="49"/>
      <c r="H171" s="49"/>
      <c r="I171" s="49"/>
      <c r="J171" s="49"/>
      <c r="K171" s="49"/>
      <c r="L171" s="49"/>
      <c r="M171" s="49"/>
      <c r="N171" s="46"/>
      <c r="O171" s="47"/>
      <c r="P171" s="47"/>
      <c r="Q171" s="47"/>
      <c r="R171" s="47"/>
      <c r="S171" s="47"/>
      <c r="T171" s="46"/>
      <c r="U171" s="46"/>
      <c r="V171" s="46"/>
      <c r="W171" s="46"/>
      <c r="X171" s="46"/>
      <c r="Y171" s="46"/>
      <c r="Z171" s="46"/>
      <c r="AA171" s="46"/>
      <c r="AB171" s="46"/>
      <c r="AC171" s="46"/>
      <c r="AD171" s="46"/>
      <c r="AE171" s="46"/>
    </row>
    <row r="172" spans="1:31" ht="12.75">
      <c r="A172" s="50"/>
      <c r="B172" s="46"/>
      <c r="C172" s="49"/>
      <c r="D172" s="49"/>
      <c r="E172" s="49"/>
      <c r="F172" s="49"/>
      <c r="G172" s="49"/>
      <c r="H172" s="49"/>
      <c r="I172" s="49"/>
      <c r="J172" s="49"/>
      <c r="K172" s="49"/>
      <c r="L172" s="49"/>
      <c r="M172" s="49"/>
      <c r="N172" s="46"/>
      <c r="O172" s="47"/>
      <c r="P172" s="47"/>
      <c r="Q172" s="47"/>
      <c r="R172" s="47"/>
      <c r="S172" s="47"/>
      <c r="T172" s="46"/>
      <c r="U172" s="46"/>
      <c r="V172" s="46"/>
      <c r="W172" s="46"/>
      <c r="X172" s="46"/>
      <c r="Y172" s="46"/>
      <c r="Z172" s="46"/>
      <c r="AA172" s="46"/>
      <c r="AB172" s="46"/>
      <c r="AC172" s="46"/>
      <c r="AD172" s="46"/>
      <c r="AE172" s="46"/>
    </row>
    <row r="173" spans="1:31" ht="12.75">
      <c r="A173" s="50"/>
      <c r="B173" s="46"/>
      <c r="C173" s="49"/>
      <c r="D173" s="49"/>
      <c r="E173" s="49"/>
      <c r="F173" s="49"/>
      <c r="G173" s="49"/>
      <c r="H173" s="49"/>
      <c r="I173" s="49"/>
      <c r="J173" s="49"/>
      <c r="K173" s="49"/>
      <c r="L173" s="49"/>
      <c r="M173" s="49"/>
      <c r="N173" s="46"/>
      <c r="O173" s="47"/>
      <c r="P173" s="47"/>
      <c r="Q173" s="47"/>
      <c r="R173" s="47"/>
      <c r="S173" s="47"/>
      <c r="T173" s="46"/>
      <c r="U173" s="46"/>
      <c r="V173" s="46"/>
      <c r="W173" s="46"/>
      <c r="X173" s="46"/>
      <c r="Y173" s="46"/>
      <c r="Z173" s="46"/>
      <c r="AA173" s="46"/>
      <c r="AB173" s="46"/>
      <c r="AC173" s="46"/>
      <c r="AD173" s="46"/>
      <c r="AE173" s="46"/>
    </row>
    <row r="174" spans="1:31" ht="12.75">
      <c r="A174" s="50"/>
      <c r="B174" s="46"/>
      <c r="C174" s="49"/>
      <c r="D174" s="49"/>
      <c r="E174" s="49"/>
      <c r="F174" s="49"/>
      <c r="G174" s="49"/>
      <c r="H174" s="49"/>
      <c r="I174" s="49"/>
      <c r="J174" s="49"/>
      <c r="K174" s="49"/>
      <c r="L174" s="49"/>
      <c r="M174" s="49"/>
      <c r="N174" s="46"/>
      <c r="O174" s="47"/>
      <c r="P174" s="47"/>
      <c r="Q174" s="47"/>
      <c r="R174" s="47"/>
      <c r="S174" s="47"/>
      <c r="T174" s="46"/>
      <c r="U174" s="46"/>
      <c r="V174" s="46"/>
      <c r="W174" s="46"/>
      <c r="X174" s="46"/>
      <c r="Y174" s="46"/>
      <c r="Z174" s="46"/>
      <c r="AA174" s="46"/>
      <c r="AB174" s="46"/>
      <c r="AC174" s="46"/>
      <c r="AD174" s="46"/>
      <c r="AE174" s="46"/>
    </row>
    <row r="175" spans="1:31" ht="12.75">
      <c r="A175" s="50"/>
      <c r="B175" s="46"/>
      <c r="C175" s="49"/>
      <c r="D175" s="49"/>
      <c r="E175" s="49"/>
      <c r="F175" s="49"/>
      <c r="G175" s="49"/>
      <c r="H175" s="49"/>
      <c r="I175" s="49"/>
      <c r="J175" s="49"/>
      <c r="K175" s="49"/>
      <c r="L175" s="49"/>
      <c r="M175" s="49"/>
      <c r="N175" s="46"/>
      <c r="O175" s="47"/>
      <c r="P175" s="47"/>
      <c r="Q175" s="47"/>
      <c r="R175" s="47"/>
      <c r="S175" s="47"/>
      <c r="T175" s="46"/>
      <c r="U175" s="46"/>
      <c r="V175" s="46"/>
      <c r="W175" s="46"/>
      <c r="X175" s="46"/>
      <c r="Y175" s="46"/>
      <c r="Z175" s="46"/>
      <c r="AA175" s="46"/>
      <c r="AB175" s="46"/>
      <c r="AC175" s="46"/>
      <c r="AD175" s="46"/>
      <c r="AE175" s="46"/>
    </row>
    <row r="176" spans="1:31" ht="12.75">
      <c r="A176" s="50"/>
      <c r="B176" s="46"/>
      <c r="C176" s="49"/>
      <c r="D176" s="49"/>
      <c r="E176" s="49"/>
      <c r="F176" s="49"/>
      <c r="G176" s="49"/>
      <c r="H176" s="49"/>
      <c r="I176" s="49"/>
      <c r="J176" s="49"/>
      <c r="K176" s="49"/>
      <c r="L176" s="49"/>
      <c r="M176" s="49"/>
      <c r="N176" s="46"/>
      <c r="O176" s="47"/>
      <c r="P176" s="47"/>
      <c r="Q176" s="47"/>
      <c r="R176" s="47"/>
      <c r="S176" s="47"/>
      <c r="T176" s="46"/>
      <c r="U176" s="46"/>
      <c r="V176" s="46"/>
      <c r="W176" s="46"/>
      <c r="X176" s="46"/>
      <c r="Y176" s="46"/>
      <c r="Z176" s="46"/>
      <c r="AA176" s="46"/>
      <c r="AB176" s="46"/>
      <c r="AC176" s="46"/>
      <c r="AD176" s="46"/>
      <c r="AE176" s="46"/>
    </row>
    <row r="177" spans="1:31" ht="12.75">
      <c r="A177" s="50"/>
      <c r="B177" s="46"/>
      <c r="C177" s="49"/>
      <c r="D177" s="49"/>
      <c r="E177" s="49"/>
      <c r="F177" s="49"/>
      <c r="G177" s="49"/>
      <c r="H177" s="49"/>
      <c r="I177" s="49"/>
      <c r="J177" s="49"/>
      <c r="K177" s="49"/>
      <c r="L177" s="49"/>
      <c r="M177" s="49"/>
      <c r="N177" s="46"/>
      <c r="O177" s="47"/>
      <c r="P177" s="47"/>
      <c r="Q177" s="47"/>
      <c r="R177" s="47"/>
      <c r="S177" s="47"/>
      <c r="T177" s="46"/>
      <c r="U177" s="46"/>
      <c r="V177" s="46"/>
      <c r="W177" s="46"/>
      <c r="X177" s="46"/>
      <c r="Y177" s="46"/>
      <c r="Z177" s="46"/>
      <c r="AA177" s="46"/>
      <c r="AB177" s="46"/>
      <c r="AC177" s="46"/>
      <c r="AD177" s="46"/>
      <c r="AE177" s="46"/>
    </row>
    <row r="178" spans="1:31" ht="12.75">
      <c r="A178" s="50"/>
      <c r="B178" s="46"/>
      <c r="C178" s="49"/>
      <c r="D178" s="49"/>
      <c r="E178" s="49"/>
      <c r="F178" s="49"/>
      <c r="G178" s="49"/>
      <c r="H178" s="49"/>
      <c r="I178" s="49"/>
      <c r="J178" s="49"/>
      <c r="K178" s="49"/>
      <c r="L178" s="49"/>
      <c r="M178" s="49"/>
      <c r="N178" s="46"/>
      <c r="O178" s="47"/>
      <c r="P178" s="47"/>
      <c r="Q178" s="47"/>
      <c r="R178" s="47"/>
      <c r="S178" s="47"/>
      <c r="T178" s="46"/>
      <c r="U178" s="46"/>
      <c r="V178" s="46"/>
      <c r="W178" s="46"/>
      <c r="X178" s="46"/>
      <c r="Y178" s="46"/>
      <c r="Z178" s="46"/>
      <c r="AA178" s="46"/>
      <c r="AB178" s="46"/>
      <c r="AC178" s="46"/>
      <c r="AD178" s="46"/>
      <c r="AE178" s="46"/>
    </row>
    <row r="179" spans="1:31" ht="12.75">
      <c r="A179" s="50"/>
      <c r="B179" s="46"/>
      <c r="C179" s="49"/>
      <c r="D179" s="49"/>
      <c r="E179" s="49"/>
      <c r="F179" s="49"/>
      <c r="G179" s="49"/>
      <c r="H179" s="49"/>
      <c r="I179" s="49"/>
      <c r="J179" s="49"/>
      <c r="K179" s="49"/>
      <c r="L179" s="49"/>
      <c r="M179" s="49"/>
      <c r="N179" s="46"/>
      <c r="O179" s="47"/>
      <c r="P179" s="47"/>
      <c r="Q179" s="47"/>
      <c r="R179" s="47"/>
      <c r="S179" s="47"/>
      <c r="T179" s="46"/>
      <c r="U179" s="46"/>
      <c r="V179" s="46"/>
      <c r="W179" s="46"/>
      <c r="X179" s="46"/>
      <c r="Y179" s="46"/>
      <c r="Z179" s="46"/>
      <c r="AA179" s="46"/>
      <c r="AB179" s="46"/>
      <c r="AC179" s="46"/>
      <c r="AD179" s="46"/>
      <c r="AE179" s="46"/>
    </row>
    <row r="180" spans="1:31" ht="12.75">
      <c r="A180" s="50"/>
      <c r="B180" s="46"/>
      <c r="C180" s="49"/>
      <c r="D180" s="49"/>
      <c r="E180" s="49"/>
      <c r="F180" s="49"/>
      <c r="G180" s="49"/>
      <c r="H180" s="49"/>
      <c r="I180" s="49"/>
      <c r="J180" s="49"/>
      <c r="K180" s="49"/>
      <c r="L180" s="49"/>
      <c r="M180" s="49"/>
      <c r="N180" s="46"/>
      <c r="O180" s="47"/>
      <c r="P180" s="47"/>
      <c r="Q180" s="47"/>
      <c r="R180" s="47"/>
      <c r="S180" s="47"/>
      <c r="T180" s="46"/>
      <c r="U180" s="46"/>
      <c r="V180" s="46"/>
      <c r="W180" s="46"/>
      <c r="X180" s="46"/>
      <c r="Y180" s="46"/>
      <c r="Z180" s="46"/>
      <c r="AA180" s="46"/>
      <c r="AB180" s="46"/>
      <c r="AC180" s="46"/>
      <c r="AD180" s="46"/>
      <c r="AE180" s="46"/>
    </row>
    <row r="181" spans="1:31" ht="12.75">
      <c r="A181" s="50"/>
      <c r="B181" s="46"/>
      <c r="C181" s="49"/>
      <c r="D181" s="49"/>
      <c r="E181" s="49"/>
      <c r="F181" s="49"/>
      <c r="G181" s="49"/>
      <c r="H181" s="49"/>
      <c r="I181" s="49"/>
      <c r="J181" s="49"/>
      <c r="K181" s="49"/>
      <c r="L181" s="49"/>
      <c r="M181" s="49"/>
      <c r="N181" s="46"/>
      <c r="O181" s="47"/>
      <c r="P181" s="47"/>
      <c r="Q181" s="47"/>
      <c r="R181" s="47"/>
      <c r="S181" s="47"/>
      <c r="T181" s="46"/>
      <c r="U181" s="46"/>
      <c r="V181" s="46"/>
      <c r="W181" s="46"/>
      <c r="X181" s="46"/>
      <c r="Y181" s="46"/>
      <c r="Z181" s="46"/>
      <c r="AA181" s="46"/>
      <c r="AB181" s="46"/>
      <c r="AC181" s="46"/>
      <c r="AD181" s="46"/>
      <c r="AE181" s="46"/>
    </row>
    <row r="182" spans="1:31" ht="12.75">
      <c r="A182" s="50"/>
      <c r="B182" s="46"/>
      <c r="C182" s="49"/>
      <c r="D182" s="49"/>
      <c r="E182" s="49"/>
      <c r="F182" s="49"/>
      <c r="G182" s="49"/>
      <c r="H182" s="49"/>
      <c r="I182" s="49"/>
      <c r="J182" s="49"/>
      <c r="K182" s="49"/>
      <c r="L182" s="49"/>
      <c r="M182" s="49"/>
      <c r="N182" s="46"/>
      <c r="O182" s="47"/>
      <c r="P182" s="47"/>
      <c r="Q182" s="47"/>
      <c r="R182" s="47"/>
      <c r="S182" s="47"/>
      <c r="T182" s="46"/>
      <c r="U182" s="46"/>
      <c r="V182" s="46"/>
      <c r="W182" s="46"/>
      <c r="X182" s="46"/>
      <c r="Y182" s="46"/>
      <c r="Z182" s="46"/>
      <c r="AA182" s="46"/>
      <c r="AB182" s="46"/>
      <c r="AC182" s="46"/>
      <c r="AD182" s="46"/>
      <c r="AE182" s="46"/>
    </row>
    <row r="183" spans="1:31" ht="12.75">
      <c r="A183" s="50"/>
      <c r="B183" s="46"/>
      <c r="C183" s="49"/>
      <c r="D183" s="49"/>
      <c r="E183" s="49"/>
      <c r="F183" s="49"/>
      <c r="G183" s="49"/>
      <c r="H183" s="49"/>
      <c r="I183" s="49"/>
      <c r="J183" s="49"/>
      <c r="K183" s="49"/>
      <c r="L183" s="49"/>
      <c r="M183" s="49"/>
      <c r="N183" s="46"/>
      <c r="O183" s="47"/>
      <c r="P183" s="47"/>
      <c r="Q183" s="47"/>
      <c r="R183" s="47"/>
      <c r="S183" s="47"/>
      <c r="T183" s="46"/>
      <c r="U183" s="46"/>
      <c r="V183" s="46"/>
      <c r="W183" s="46"/>
      <c r="X183" s="46"/>
      <c r="Y183" s="46"/>
      <c r="Z183" s="46"/>
      <c r="AA183" s="46"/>
      <c r="AB183" s="46"/>
      <c r="AC183" s="46"/>
      <c r="AD183" s="46"/>
      <c r="AE183" s="46"/>
    </row>
    <row r="184" spans="1:31" ht="12.75">
      <c r="A184" s="50"/>
      <c r="B184" s="46"/>
      <c r="C184" s="49"/>
      <c r="D184" s="49"/>
      <c r="E184" s="49"/>
      <c r="F184" s="49"/>
      <c r="G184" s="49"/>
      <c r="H184" s="49"/>
      <c r="I184" s="49"/>
      <c r="J184" s="49"/>
      <c r="K184" s="49"/>
      <c r="L184" s="49"/>
      <c r="M184" s="49"/>
      <c r="N184" s="46"/>
      <c r="O184" s="47"/>
      <c r="P184" s="47"/>
      <c r="Q184" s="47"/>
      <c r="R184" s="47"/>
      <c r="S184" s="47"/>
      <c r="T184" s="46"/>
      <c r="U184" s="46"/>
      <c r="V184" s="46"/>
      <c r="W184" s="46"/>
      <c r="X184" s="46"/>
      <c r="Y184" s="46"/>
      <c r="Z184" s="46"/>
      <c r="AA184" s="46"/>
      <c r="AB184" s="46"/>
      <c r="AC184" s="46"/>
      <c r="AD184" s="46"/>
      <c r="AE184" s="46"/>
    </row>
    <row r="185" spans="1:31" ht="12.75">
      <c r="A185" s="50"/>
      <c r="B185" s="46"/>
      <c r="C185" s="49"/>
      <c r="D185" s="49"/>
      <c r="E185" s="49"/>
      <c r="F185" s="49"/>
      <c r="G185" s="49"/>
      <c r="H185" s="49"/>
      <c r="I185" s="49"/>
      <c r="J185" s="49"/>
      <c r="K185" s="49"/>
      <c r="L185" s="49"/>
      <c r="M185" s="49"/>
      <c r="N185" s="46"/>
      <c r="O185" s="47"/>
      <c r="P185" s="47"/>
      <c r="Q185" s="47"/>
      <c r="R185" s="47"/>
      <c r="S185" s="47"/>
      <c r="T185" s="46"/>
      <c r="U185" s="46"/>
      <c r="V185" s="46"/>
      <c r="W185" s="46"/>
      <c r="X185" s="46"/>
      <c r="Y185" s="46"/>
      <c r="Z185" s="46"/>
      <c r="AA185" s="46"/>
      <c r="AB185" s="46"/>
      <c r="AC185" s="46"/>
      <c r="AD185" s="46"/>
      <c r="AE185" s="46"/>
    </row>
    <row r="186" spans="1:31" ht="12.75">
      <c r="A186" s="50"/>
      <c r="B186" s="46"/>
      <c r="C186" s="49"/>
      <c r="D186" s="49"/>
      <c r="E186" s="49"/>
      <c r="F186" s="49"/>
      <c r="G186" s="49"/>
      <c r="H186" s="49"/>
      <c r="I186" s="49"/>
      <c r="J186" s="49"/>
      <c r="K186" s="49"/>
      <c r="L186" s="49"/>
      <c r="M186" s="49"/>
      <c r="N186" s="46"/>
      <c r="O186" s="47"/>
      <c r="P186" s="47"/>
      <c r="Q186" s="47"/>
      <c r="R186" s="47"/>
      <c r="S186" s="47"/>
      <c r="T186" s="46"/>
      <c r="U186" s="46"/>
      <c r="V186" s="46"/>
      <c r="W186" s="46"/>
      <c r="X186" s="46"/>
      <c r="Y186" s="46"/>
      <c r="Z186" s="46"/>
      <c r="AA186" s="46"/>
      <c r="AB186" s="46"/>
      <c r="AC186" s="46"/>
      <c r="AD186" s="46"/>
      <c r="AE186" s="46"/>
    </row>
    <row r="187" spans="1:31" ht="12.75">
      <c r="A187" s="50"/>
      <c r="B187" s="46"/>
      <c r="C187" s="49"/>
      <c r="D187" s="49"/>
      <c r="E187" s="49"/>
      <c r="F187" s="49"/>
      <c r="G187" s="49"/>
      <c r="H187" s="49"/>
      <c r="I187" s="49"/>
      <c r="J187" s="49"/>
      <c r="K187" s="49"/>
      <c r="L187" s="49"/>
      <c r="M187" s="49"/>
      <c r="N187" s="46"/>
      <c r="O187" s="47"/>
      <c r="P187" s="47"/>
      <c r="Q187" s="47"/>
      <c r="R187" s="47"/>
      <c r="S187" s="47"/>
      <c r="T187" s="46"/>
      <c r="U187" s="46"/>
      <c r="V187" s="46"/>
      <c r="W187" s="46"/>
      <c r="X187" s="46"/>
      <c r="Y187" s="46"/>
      <c r="Z187" s="46"/>
      <c r="AA187" s="46"/>
      <c r="AB187" s="46"/>
      <c r="AC187" s="46"/>
      <c r="AD187" s="46"/>
      <c r="AE187" s="46"/>
    </row>
    <row r="188" spans="1:31" ht="12.75">
      <c r="A188" s="50"/>
      <c r="B188" s="46"/>
      <c r="C188" s="49"/>
      <c r="D188" s="49"/>
      <c r="E188" s="49"/>
      <c r="F188" s="49"/>
      <c r="G188" s="49"/>
      <c r="H188" s="49"/>
      <c r="I188" s="49"/>
      <c r="J188" s="49"/>
      <c r="K188" s="49"/>
      <c r="L188" s="49"/>
      <c r="M188" s="49"/>
      <c r="N188" s="46"/>
      <c r="O188" s="47"/>
      <c r="P188" s="47"/>
      <c r="Q188" s="47"/>
      <c r="R188" s="47"/>
      <c r="S188" s="47"/>
      <c r="T188" s="46"/>
      <c r="U188" s="46"/>
      <c r="V188" s="46"/>
      <c r="W188" s="46"/>
      <c r="X188" s="46"/>
      <c r="Y188" s="46"/>
      <c r="Z188" s="46"/>
      <c r="AA188" s="46"/>
      <c r="AB188" s="46"/>
      <c r="AC188" s="46"/>
      <c r="AD188" s="46"/>
      <c r="AE188" s="46"/>
    </row>
    <row r="189" spans="1:31" ht="12.75">
      <c r="A189" s="50"/>
      <c r="B189" s="46"/>
      <c r="C189" s="49"/>
      <c r="D189" s="49"/>
      <c r="E189" s="49"/>
      <c r="F189" s="49"/>
      <c r="G189" s="49"/>
      <c r="H189" s="49"/>
      <c r="I189" s="49"/>
      <c r="J189" s="49"/>
      <c r="K189" s="49"/>
      <c r="L189" s="49"/>
      <c r="M189" s="49"/>
      <c r="N189" s="46"/>
      <c r="O189" s="47"/>
      <c r="P189" s="47"/>
      <c r="Q189" s="47"/>
      <c r="R189" s="47"/>
      <c r="S189" s="47"/>
      <c r="T189" s="46"/>
      <c r="U189" s="46"/>
      <c r="V189" s="46"/>
      <c r="W189" s="46"/>
      <c r="X189" s="46"/>
      <c r="Y189" s="46"/>
      <c r="Z189" s="46"/>
      <c r="AA189" s="46"/>
      <c r="AB189" s="46"/>
      <c r="AC189" s="46"/>
      <c r="AD189" s="46"/>
      <c r="AE189" s="46"/>
    </row>
  </sheetData>
  <sheetProtection password="C4F0" sheet="1" objects="1" scenarios="1"/>
  <mergeCells count="11">
    <mergeCell ref="A3:B3"/>
    <mergeCell ref="L7:M7"/>
    <mergeCell ref="H6:I6"/>
    <mergeCell ref="J7:K7"/>
    <mergeCell ref="H5:I5"/>
    <mergeCell ref="D7:E7"/>
    <mergeCell ref="F7:G7"/>
    <mergeCell ref="H7:I7"/>
    <mergeCell ref="A157:M157"/>
    <mergeCell ref="A153:M153"/>
    <mergeCell ref="A152:M152"/>
  </mergeCells>
  <conditionalFormatting sqref="B11:B105 B147:B148 B107:B145">
    <cfRule type="expression" priority="1" dxfId="0" stopIfTrue="1">
      <formula>A11=$A$9</formula>
    </cfRule>
  </conditionalFormatting>
  <conditionalFormatting sqref="C11:C105 C107:C145 C147:C148">
    <cfRule type="expression" priority="2" dxfId="0" stopIfTrue="1">
      <formula>A11=$A$9</formula>
    </cfRule>
  </conditionalFormatting>
  <conditionalFormatting sqref="D11:D105 D147:D148 D107:D145">
    <cfRule type="expression" priority="3" dxfId="1" stopIfTrue="1">
      <formula>A11=$A$9</formula>
    </cfRule>
  </conditionalFormatting>
  <conditionalFormatting sqref="E11:E105 E147:E148 E107:E145">
    <cfRule type="expression" priority="4" dxfId="1" stopIfTrue="1">
      <formula>A11=$A$9</formula>
    </cfRule>
  </conditionalFormatting>
  <conditionalFormatting sqref="F11:F105 F107:F145 F147:F148">
    <cfRule type="expression" priority="5" dxfId="2" stopIfTrue="1">
      <formula>A11=$A$9</formula>
    </cfRule>
  </conditionalFormatting>
  <conditionalFormatting sqref="G11:G105 G147:G148 G107:G145">
    <cfRule type="expression" priority="6" dxfId="2" stopIfTrue="1">
      <formula>A11=$A$9</formula>
    </cfRule>
  </conditionalFormatting>
  <conditionalFormatting sqref="H11:H105 H107:H145 H147:H148">
    <cfRule type="expression" priority="7" dxfId="2" stopIfTrue="1">
      <formula>A11=$A$9</formula>
    </cfRule>
  </conditionalFormatting>
  <conditionalFormatting sqref="I11:I105 I147:I148 I107:I145">
    <cfRule type="expression" priority="8" dxfId="2" stopIfTrue="1">
      <formula>A11=$A$9</formula>
    </cfRule>
  </conditionalFormatting>
  <conditionalFormatting sqref="J107:J145 J11:J105 J147:J148">
    <cfRule type="expression" priority="9" dxfId="3" stopIfTrue="1">
      <formula>A11=$A$9</formula>
    </cfRule>
  </conditionalFormatting>
  <conditionalFormatting sqref="K11:K105 K107:K145 K147:K148">
    <cfRule type="expression" priority="10" dxfId="3" stopIfTrue="1">
      <formula>A11=$A$9</formula>
    </cfRule>
  </conditionalFormatting>
  <conditionalFormatting sqref="L107:L145 L11:L105 L147:L148">
    <cfRule type="expression" priority="11" dxfId="0" stopIfTrue="1">
      <formula>A11=$A$9</formula>
    </cfRule>
  </conditionalFormatting>
  <conditionalFormatting sqref="M11:M105 M107:M145 M147:M148">
    <cfRule type="expression" priority="12" dxfId="0" stopIfTrue="1">
      <formula>A11=$A$9</formula>
    </cfRule>
  </conditionalFormatting>
  <conditionalFormatting sqref="A11:A105 A147:A148 A107:A145">
    <cfRule type="expression" priority="13" dxfId="0" stopIfTrue="1">
      <formula>A11=$A$9</formula>
    </cfRule>
  </conditionalFormatting>
  <printOptions horizontalCentered="1"/>
  <pageMargins left="0.25" right="0.25" top="0.5" bottom="0.6" header="0.24" footer="0.27"/>
  <pageSetup horizontalDpi="300" verticalDpi="300" orientation="landscape" scale="75" r:id="rId1"/>
  <rowBreaks count="1" manualBreakCount="1">
    <brk id="145" max="12" man="1"/>
  </rowBreaks>
</worksheet>
</file>

<file path=xl/worksheets/sheet2.xml><?xml version="1.0" encoding="utf-8"?>
<worksheet xmlns="http://schemas.openxmlformats.org/spreadsheetml/2006/main" xmlns:r="http://schemas.openxmlformats.org/officeDocument/2006/relationships">
  <sheetPr codeName="Sheet4"/>
  <dimension ref="A1:AR172"/>
  <sheetViews>
    <sheetView zoomScale="70" zoomScaleNormal="70" workbookViewId="0" topLeftCell="A1">
      <pane ySplit="6" topLeftCell="BM7" activePane="bottomLeft" state="frozen"/>
      <selection pane="topLeft" activeCell="A13" sqref="A13"/>
      <selection pane="bottomLeft" activeCell="A7" sqref="A7"/>
    </sheetView>
  </sheetViews>
  <sheetFormatPr defaultColWidth="9.140625" defaultRowHeight="12.75"/>
  <cols>
    <col min="1" max="1" width="11.00390625" style="2" customWidth="1"/>
    <col min="2" max="2" width="32.8515625" style="2" customWidth="1"/>
    <col min="3" max="3" width="11.28125" style="2" customWidth="1"/>
    <col min="4" max="5" width="20.7109375" style="2" customWidth="1"/>
    <col min="6" max="6" width="22.28125" style="2" customWidth="1"/>
    <col min="7" max="7" width="2.57421875" style="2" customWidth="1"/>
    <col min="8" max="8" width="26.28125" style="2" customWidth="1"/>
    <col min="9" max="9" width="18.00390625" style="157" bestFit="1" customWidth="1"/>
    <col min="10" max="10" width="11.421875" style="160" customWidth="1"/>
    <col min="11" max="25" width="9.140625" style="84" customWidth="1"/>
    <col min="26" max="26" width="9.140625" style="1" customWidth="1"/>
    <col min="27" max="27" width="11.140625" style="1" bestFit="1" customWidth="1"/>
    <col min="28" max="28" width="24.00390625" style="1" bestFit="1" customWidth="1"/>
    <col min="29" max="29" width="24.8515625" style="1" bestFit="1" customWidth="1"/>
    <col min="30" max="30" width="13.8515625" style="1" bestFit="1" customWidth="1"/>
    <col min="31" max="31" width="26.8515625" style="1" bestFit="1" customWidth="1"/>
    <col min="32" max="32" width="16.57421875" style="1" bestFit="1" customWidth="1"/>
    <col min="33" max="33" width="24.57421875" style="1" bestFit="1" customWidth="1"/>
    <col min="34" max="34" width="14.28125" style="1" bestFit="1" customWidth="1"/>
    <col min="35" max="35" width="24.00390625" style="1" bestFit="1" customWidth="1"/>
    <col min="36" max="36" width="13.7109375" style="1" bestFit="1" customWidth="1"/>
    <col min="37" max="37" width="22.421875" style="1" bestFit="1" customWidth="1"/>
    <col min="38" max="38" width="27.7109375" style="1" bestFit="1" customWidth="1"/>
    <col min="39" max="39" width="25.00390625" style="1" bestFit="1" customWidth="1"/>
    <col min="40" max="40" width="30.28125" style="1" bestFit="1" customWidth="1"/>
    <col min="41" max="41" width="22.57421875" style="1" customWidth="1"/>
    <col min="42" max="42" width="27.8515625" style="1" bestFit="1" customWidth="1"/>
    <col min="43" max="43" width="22.00390625" style="1" bestFit="1" customWidth="1"/>
    <col min="44" max="44" width="27.421875" style="1" bestFit="1" customWidth="1"/>
    <col min="45" max="16384" width="9.140625" style="1" customWidth="1"/>
  </cols>
  <sheetData>
    <row r="1" spans="1:44" ht="25.5" customHeight="1" thickBot="1">
      <c r="A1" s="194" t="s">
        <v>143</v>
      </c>
      <c r="B1" s="195"/>
      <c r="C1" s="195"/>
      <c r="D1" s="195"/>
      <c r="E1" s="195"/>
      <c r="F1" s="195"/>
      <c r="G1" s="195"/>
      <c r="H1" s="196"/>
      <c r="I1" s="155"/>
      <c r="J1" s="82"/>
      <c r="K1" s="58"/>
      <c r="L1" s="58"/>
      <c r="M1" s="58"/>
      <c r="N1" s="58"/>
      <c r="O1" s="58"/>
      <c r="P1" s="58"/>
      <c r="Q1" s="58"/>
      <c r="R1" s="58"/>
      <c r="S1" s="58"/>
      <c r="T1" s="58"/>
      <c r="U1" s="58"/>
      <c r="V1" s="58"/>
      <c r="W1" s="58"/>
      <c r="X1" s="58"/>
      <c r="Y1" s="58"/>
      <c r="Z1" s="58"/>
      <c r="AA1" s="117" t="s">
        <v>292</v>
      </c>
      <c r="AB1" s="118" t="s">
        <v>293</v>
      </c>
      <c r="AC1" s="119" t="s">
        <v>294</v>
      </c>
      <c r="AD1" s="119" t="s">
        <v>295</v>
      </c>
      <c r="AE1" s="119" t="s">
        <v>296</v>
      </c>
      <c r="AF1" s="119" t="s">
        <v>297</v>
      </c>
      <c r="AG1" s="119" t="s">
        <v>298</v>
      </c>
      <c r="AH1" s="119" t="s">
        <v>299</v>
      </c>
      <c r="AI1" s="119" t="s">
        <v>300</v>
      </c>
      <c r="AJ1" s="119" t="s">
        <v>301</v>
      </c>
      <c r="AK1" s="120" t="s">
        <v>472</v>
      </c>
      <c r="AL1" s="120" t="s">
        <v>473</v>
      </c>
      <c r="AM1" s="120" t="s">
        <v>474</v>
      </c>
      <c r="AN1" s="120" t="s">
        <v>475</v>
      </c>
      <c r="AO1" s="120" t="s">
        <v>476</v>
      </c>
      <c r="AP1" s="120" t="s">
        <v>477</v>
      </c>
      <c r="AQ1" s="120" t="s">
        <v>478</v>
      </c>
      <c r="AR1" s="120" t="s">
        <v>479</v>
      </c>
    </row>
    <row r="2" spans="1:44" ht="18.75" thickBot="1">
      <c r="A2" s="197" t="s">
        <v>449</v>
      </c>
      <c r="B2" s="198"/>
      <c r="C2" s="198"/>
      <c r="D2" s="198"/>
      <c r="E2" s="198"/>
      <c r="F2" s="198"/>
      <c r="G2" s="198"/>
      <c r="H2" s="199"/>
      <c r="I2" s="155"/>
      <c r="J2" s="82"/>
      <c r="K2" s="58"/>
      <c r="L2" s="58"/>
      <c r="M2" s="58"/>
      <c r="N2" s="58"/>
      <c r="O2" s="58"/>
      <c r="P2" s="58"/>
      <c r="Q2" s="58"/>
      <c r="R2" s="58"/>
      <c r="S2" s="58"/>
      <c r="T2" s="58"/>
      <c r="U2" s="58"/>
      <c r="V2" s="58"/>
      <c r="W2" s="58"/>
      <c r="X2" s="58"/>
      <c r="Y2" s="58"/>
      <c r="Z2" s="58"/>
      <c r="AA2" s="121">
        <v>1</v>
      </c>
      <c r="AB2" s="122" t="s">
        <v>302</v>
      </c>
      <c r="AC2" s="123">
        <v>22437586.94</v>
      </c>
      <c r="AD2" s="123">
        <v>4363.3623</v>
      </c>
      <c r="AE2" s="123">
        <v>6322335.19</v>
      </c>
      <c r="AF2" s="123">
        <v>1229.4833</v>
      </c>
      <c r="AG2" s="123">
        <v>13540899.970000025</v>
      </c>
      <c r="AH2" s="123">
        <v>2633.2534</v>
      </c>
      <c r="AI2" s="123">
        <v>47680535.68000003</v>
      </c>
      <c r="AJ2" s="123">
        <v>9272.2739</v>
      </c>
      <c r="AK2" s="162">
        <f>VLOOKUP(AA2,'FY 2005 TABLE 15'!$A$11:$M$148,6,FALSE)-AC2</f>
        <v>0</v>
      </c>
      <c r="AL2" s="162">
        <f>VLOOKUP(AA2,'FY 2005 TABLE 15'!$A$11:$M$148,7,FALSE)-AD2</f>
        <v>-2.2251068003242835E-05</v>
      </c>
      <c r="AM2" s="162">
        <f>VLOOKUP(AA2,'FY 2005 TABLE 15'!$A$11:$M$148,10,FALSE)-AE2</f>
        <v>0</v>
      </c>
      <c r="AN2" s="162">
        <f>VLOOKUP(AA2,'FY 2005 TABLE 15'!$A$11:$M$148,11,FALSE)-AF2</f>
        <v>1.9623434582172194E-05</v>
      </c>
      <c r="AO2" s="162">
        <f>VLOOKUP(AA2,'FY 2005 TABLE 15'!$A$11:$M$148,4,FALSE)-AG2</f>
        <v>0</v>
      </c>
      <c r="AP2" s="162">
        <f>VLOOKUP(AA2,'FY 2005 TABLE 15'!$A$11:$M$148,5,FALSE)-AH2</f>
        <v>1.7078123164537828E-06</v>
      </c>
      <c r="AQ2" s="162">
        <f>VLOOKUP(AA2,'FY 2005 TABLE 15'!$A$11:$M$148,12,FALSE)-AI2</f>
        <v>0</v>
      </c>
      <c r="AR2" s="163">
        <f>VLOOKUP(AA2,'FY 2005 TABLE 15'!$A$11:$M$148,13,FALSE)-AJ2</f>
        <v>-4.429035652719904E-05</v>
      </c>
    </row>
    <row r="3" spans="1:44" ht="15">
      <c r="A3" s="60"/>
      <c r="B3" s="61"/>
      <c r="C3" s="61"/>
      <c r="D3" s="61"/>
      <c r="E3" s="61"/>
      <c r="F3" s="61"/>
      <c r="G3" s="61"/>
      <c r="H3" s="62"/>
      <c r="I3" s="155"/>
      <c r="J3" s="82"/>
      <c r="K3" s="58"/>
      <c r="L3" s="58"/>
      <c r="M3" s="58"/>
      <c r="N3" s="58"/>
      <c r="O3" s="58"/>
      <c r="P3" s="58"/>
      <c r="Q3" s="58"/>
      <c r="R3" s="58"/>
      <c r="S3" s="58"/>
      <c r="T3" s="58"/>
      <c r="U3" s="58"/>
      <c r="V3" s="58"/>
      <c r="W3" s="58"/>
      <c r="X3" s="58"/>
      <c r="Y3" s="58"/>
      <c r="Z3" s="58"/>
      <c r="AA3" s="113">
        <v>2</v>
      </c>
      <c r="AB3" s="114" t="s">
        <v>303</v>
      </c>
      <c r="AC3" s="115">
        <v>26758002.710000005</v>
      </c>
      <c r="AD3" s="115">
        <v>2162.8046</v>
      </c>
      <c r="AE3" s="115">
        <v>5145595.16</v>
      </c>
      <c r="AF3" s="115">
        <v>415.9099</v>
      </c>
      <c r="AG3" s="115">
        <v>87506667.82999986</v>
      </c>
      <c r="AH3" s="115">
        <v>7073.0177</v>
      </c>
      <c r="AI3" s="115">
        <v>130101726.73999986</v>
      </c>
      <c r="AJ3" s="115">
        <v>10515.9051</v>
      </c>
      <c r="AK3" s="164">
        <f>VLOOKUP(AA3,'FY 2005 TABLE 15'!$A$11:$M$148,6,FALSE)-AC3</f>
        <v>0</v>
      </c>
      <c r="AL3" s="164">
        <f>VLOOKUP(AA3,'FY 2005 TABLE 15'!$A$11:$M$148,7,FALSE)-AD3</f>
        <v>3.8737785416742554E-05</v>
      </c>
      <c r="AM3" s="164">
        <f>VLOOKUP(AA3,'FY 2005 TABLE 15'!$A$11:$M$148,10,FALSE)-AE3</f>
        <v>0</v>
      </c>
      <c r="AN3" s="164">
        <f>VLOOKUP(AA3,'FY 2005 TABLE 15'!$A$11:$M$148,11,FALSE)-AF3</f>
        <v>-4.2985313484678045E-05</v>
      </c>
      <c r="AO3" s="164">
        <f>VLOOKUP(AA3,'FY 2005 TABLE 15'!$A$11:$M$148,4,FALSE)-AG3</f>
        <v>0</v>
      </c>
      <c r="AP3" s="164">
        <f>VLOOKUP(AA3,'FY 2005 TABLE 15'!$A$11:$M$148,5,FALSE)-AH3</f>
        <v>1.1911659385077655E-05</v>
      </c>
      <c r="AQ3" s="164">
        <f>VLOOKUP(AA3,'FY 2005 TABLE 15'!$A$11:$M$148,12,FALSE)-AI3</f>
        <v>0</v>
      </c>
      <c r="AR3" s="165">
        <f>VLOOKUP(AA3,'FY 2005 TABLE 15'!$A$11:$M$148,13,FALSE)-AJ3</f>
        <v>3.5023711461690255E-05</v>
      </c>
    </row>
    <row r="4" spans="1:44" ht="15.75">
      <c r="A4" s="63" t="s">
        <v>0</v>
      </c>
      <c r="B4" s="64" t="s">
        <v>1</v>
      </c>
      <c r="C4" s="61"/>
      <c r="D4" s="61"/>
      <c r="E4" s="61"/>
      <c r="F4" s="61"/>
      <c r="G4" s="61"/>
      <c r="H4" s="65"/>
      <c r="I4" s="155"/>
      <c r="J4" s="82"/>
      <c r="K4" s="58"/>
      <c r="L4" s="58"/>
      <c r="M4" s="58"/>
      <c r="N4" s="58"/>
      <c r="O4" s="58"/>
      <c r="P4" s="58"/>
      <c r="Q4" s="58"/>
      <c r="R4" s="58"/>
      <c r="S4" s="58"/>
      <c r="T4" s="58"/>
      <c r="U4" s="58"/>
      <c r="V4" s="58"/>
      <c r="W4" s="58"/>
      <c r="X4" s="58"/>
      <c r="Y4" s="58"/>
      <c r="Z4" s="58"/>
      <c r="AA4" s="113">
        <v>3</v>
      </c>
      <c r="AB4" s="114" t="s">
        <v>304</v>
      </c>
      <c r="AC4" s="115">
        <v>12403206.019999998</v>
      </c>
      <c r="AD4" s="115">
        <v>4258.1729</v>
      </c>
      <c r="AE4" s="115">
        <v>1789341.05</v>
      </c>
      <c r="AF4" s="115">
        <v>614.3027</v>
      </c>
      <c r="AG4" s="115">
        <v>9125132.51000002</v>
      </c>
      <c r="AH4" s="115">
        <v>3132.77</v>
      </c>
      <c r="AI4" s="115">
        <v>25602376.89000002</v>
      </c>
      <c r="AJ4" s="115">
        <v>8789.6103</v>
      </c>
      <c r="AK4" s="164">
        <f>VLOOKUP(AA4,'FY 2005 TABLE 15'!$A$11:$M$148,6,FALSE)-AC4</f>
        <v>0</v>
      </c>
      <c r="AL4" s="164">
        <f>VLOOKUP(AA4,'FY 2005 TABLE 15'!$A$11:$M$148,7,FALSE)-AD4</f>
        <v>-1.071134647645522E-06</v>
      </c>
      <c r="AM4" s="164">
        <f>VLOOKUP(AA4,'FY 2005 TABLE 15'!$A$11:$M$148,10,FALSE)-AE4</f>
        <v>0</v>
      </c>
      <c r="AN4" s="164">
        <f>VLOOKUP(AA4,'FY 2005 TABLE 15'!$A$11:$M$148,11,FALSE)-AF4</f>
        <v>4.993133757125179E-05</v>
      </c>
      <c r="AO4" s="164">
        <f>VLOOKUP(AA4,'FY 2005 TABLE 15'!$A$11:$M$148,4,FALSE)-AG4</f>
        <v>0</v>
      </c>
      <c r="AP4" s="164">
        <f>VLOOKUP(AA4,'FY 2005 TABLE 15'!$A$11:$M$148,5,FALSE)-AH4</f>
        <v>1.8538870335760294E-05</v>
      </c>
      <c r="AQ4" s="164">
        <f>VLOOKUP(AA4,'FY 2005 TABLE 15'!$A$11:$M$148,12,FALSE)-AI4</f>
        <v>0</v>
      </c>
      <c r="AR4" s="165">
        <f>VLOOKUP(AA4,'FY 2005 TABLE 15'!$A$11:$M$148,13,FALSE)-AJ4</f>
        <v>2.8014346753479913E-06</v>
      </c>
    </row>
    <row r="5" spans="1:44" ht="21.75" customHeight="1">
      <c r="A5" s="106">
        <v>0</v>
      </c>
      <c r="B5" s="107" t="e">
        <f>VLOOKUP(A5,'Division Source'!B2:C137,2,FALSE)</f>
        <v>#N/A</v>
      </c>
      <c r="C5" s="3"/>
      <c r="D5" s="61"/>
      <c r="E5" s="61"/>
      <c r="F5" s="61"/>
      <c r="G5" s="61"/>
      <c r="H5" s="65"/>
      <c r="I5" s="155"/>
      <c r="J5" s="82"/>
      <c r="K5" s="58"/>
      <c r="L5" s="58"/>
      <c r="M5" s="58"/>
      <c r="N5" s="58"/>
      <c r="O5" s="58"/>
      <c r="P5" s="58"/>
      <c r="Q5" s="58"/>
      <c r="R5" s="58"/>
      <c r="S5" s="58"/>
      <c r="T5" s="58"/>
      <c r="U5" s="58"/>
      <c r="V5" s="58"/>
      <c r="W5" s="58"/>
      <c r="X5" s="58"/>
      <c r="Y5" s="58"/>
      <c r="Z5" s="58"/>
      <c r="AA5" s="113">
        <v>4</v>
      </c>
      <c r="AB5" s="114" t="s">
        <v>305</v>
      </c>
      <c r="AC5" s="115">
        <v>7000105.87</v>
      </c>
      <c r="AD5" s="115">
        <v>3994.9242</v>
      </c>
      <c r="AE5" s="115">
        <v>1180924.75</v>
      </c>
      <c r="AF5" s="115">
        <v>673.9476</v>
      </c>
      <c r="AG5" s="115">
        <v>3850134.4200000064</v>
      </c>
      <c r="AH5" s="115">
        <v>2197.2518</v>
      </c>
      <c r="AI5" s="115">
        <v>13506929.780000007</v>
      </c>
      <c r="AJ5" s="115">
        <v>7708.3349</v>
      </c>
      <c r="AK5" s="164">
        <f>VLOOKUP(AA5,'FY 2005 TABLE 15'!$A$11:$M$148,6,FALSE)-AC5</f>
        <v>0</v>
      </c>
      <c r="AL5" s="164">
        <f>VLOOKUP(AA5,'FY 2005 TABLE 15'!$A$11:$M$148,7,FALSE)-AD5</f>
        <v>-3.39278071805893E-05</v>
      </c>
      <c r="AM5" s="164">
        <f>VLOOKUP(AA5,'FY 2005 TABLE 15'!$A$11:$M$148,10,FALSE)-AE5</f>
        <v>0</v>
      </c>
      <c r="AN5" s="164">
        <f>VLOOKUP(AA5,'FY 2005 TABLE 15'!$A$11:$M$148,11,FALSE)-AF5</f>
        <v>3.875017841892259E-05</v>
      </c>
      <c r="AO5" s="164">
        <f>VLOOKUP(AA5,'FY 2005 TABLE 15'!$A$11:$M$148,4,FALSE)-AG5</f>
        <v>0</v>
      </c>
      <c r="AP5" s="164">
        <f>VLOOKUP(AA5,'FY 2005 TABLE 15'!$A$11:$M$148,5,FALSE)-AH5</f>
        <v>-2.656584001670126E-05</v>
      </c>
      <c r="AQ5" s="164">
        <f>VLOOKUP(AA5,'FY 2005 TABLE 15'!$A$11:$M$148,12,FALSE)-AI5</f>
        <v>0</v>
      </c>
      <c r="AR5" s="165">
        <f>VLOOKUP(AA5,'FY 2005 TABLE 15'!$A$11:$M$148,13,FALSE)-AJ5</f>
        <v>-2.769296224869322E-05</v>
      </c>
    </row>
    <row r="6" spans="1:44" ht="10.5" customHeight="1">
      <c r="A6" s="108"/>
      <c r="B6" s="109"/>
      <c r="C6" s="3"/>
      <c r="D6" s="61"/>
      <c r="E6" s="61"/>
      <c r="F6" s="61"/>
      <c r="G6" s="61"/>
      <c r="H6" s="65"/>
      <c r="I6" s="155"/>
      <c r="J6" s="82"/>
      <c r="K6" s="58"/>
      <c r="L6" s="58"/>
      <c r="M6" s="58"/>
      <c r="N6" s="58"/>
      <c r="O6" s="58"/>
      <c r="P6" s="58"/>
      <c r="Q6" s="58"/>
      <c r="R6" s="58"/>
      <c r="S6" s="58"/>
      <c r="T6" s="58"/>
      <c r="U6" s="58"/>
      <c r="V6" s="58"/>
      <c r="W6" s="58"/>
      <c r="X6" s="58"/>
      <c r="Y6" s="58"/>
      <c r="Z6" s="58"/>
      <c r="AA6" s="113">
        <v>5</v>
      </c>
      <c r="AB6" s="114" t="s">
        <v>306</v>
      </c>
      <c r="AC6" s="115">
        <v>18501732.509999998</v>
      </c>
      <c r="AD6" s="115">
        <v>3997.7296</v>
      </c>
      <c r="AE6" s="115">
        <v>3106566.19</v>
      </c>
      <c r="AF6" s="115">
        <v>671.2459</v>
      </c>
      <c r="AG6" s="115">
        <v>10798199.54999999</v>
      </c>
      <c r="AH6" s="115">
        <v>2333.2022</v>
      </c>
      <c r="AI6" s="115">
        <v>36436604.52999999</v>
      </c>
      <c r="AJ6" s="115">
        <v>7872.9758</v>
      </c>
      <c r="AK6" s="164">
        <f>VLOOKUP(AA6,'FY 2005 TABLE 15'!$A$11:$M$148,6,FALSE)-AC6</f>
        <v>0</v>
      </c>
      <c r="AL6" s="164">
        <f>VLOOKUP(AA6,'FY 2005 TABLE 15'!$A$11:$M$148,7,FALSE)-AD6</f>
        <v>1.240778965438949E-05</v>
      </c>
      <c r="AM6" s="164">
        <f>VLOOKUP(AA6,'FY 2005 TABLE 15'!$A$11:$M$148,10,FALSE)-AE6</f>
        <v>0</v>
      </c>
      <c r="AN6" s="164">
        <f>VLOOKUP(AA6,'FY 2005 TABLE 15'!$A$11:$M$148,11,FALSE)-AF6</f>
        <v>-2.375811902766145E-05</v>
      </c>
      <c r="AO6" s="164">
        <f>VLOOKUP(AA6,'FY 2005 TABLE 15'!$A$11:$M$148,4,FALSE)-AG6</f>
        <v>0</v>
      </c>
      <c r="AP6" s="164">
        <f>VLOOKUP(AA6,'FY 2005 TABLE 15'!$A$11:$M$148,5,FALSE)-AH6</f>
        <v>-4.8342505579057615E-05</v>
      </c>
      <c r="AQ6" s="164">
        <f>VLOOKUP(AA6,'FY 2005 TABLE 15'!$A$11:$M$148,12,FALSE)-AI6</f>
        <v>0</v>
      </c>
      <c r="AR6" s="165">
        <f>VLOOKUP(AA6,'FY 2005 TABLE 15'!$A$11:$M$148,13,FALSE)-AJ6</f>
        <v>3.220614780730102E-05</v>
      </c>
    </row>
    <row r="7" spans="1:44" ht="10.5" customHeight="1">
      <c r="A7" s="60"/>
      <c r="B7" s="61"/>
      <c r="C7" s="61"/>
      <c r="D7" s="61"/>
      <c r="E7" s="61"/>
      <c r="F7" s="61"/>
      <c r="G7" s="61"/>
      <c r="H7" s="67"/>
      <c r="I7" s="155"/>
      <c r="J7" s="82"/>
      <c r="K7" s="58"/>
      <c r="L7" s="58"/>
      <c r="M7" s="58"/>
      <c r="N7" s="58"/>
      <c r="O7" s="58"/>
      <c r="P7" s="58"/>
      <c r="Q7" s="58"/>
      <c r="R7" s="58"/>
      <c r="S7" s="58"/>
      <c r="T7" s="58"/>
      <c r="U7" s="58"/>
      <c r="V7" s="58"/>
      <c r="W7" s="58"/>
      <c r="X7" s="58"/>
      <c r="Y7" s="58"/>
      <c r="Z7" s="58"/>
      <c r="AA7" s="113">
        <v>6</v>
      </c>
      <c r="AB7" s="114" t="s">
        <v>307</v>
      </c>
      <c r="AC7" s="115">
        <v>9856897.77</v>
      </c>
      <c r="AD7" s="115">
        <v>4343.6043</v>
      </c>
      <c r="AE7" s="115">
        <v>1562588.68</v>
      </c>
      <c r="AF7" s="115">
        <v>688.5804</v>
      </c>
      <c r="AG7" s="115">
        <v>4037369.5200000247</v>
      </c>
      <c r="AH7" s="115">
        <v>1779.1334</v>
      </c>
      <c r="AI7" s="115">
        <v>17328422.350000024</v>
      </c>
      <c r="AJ7" s="115">
        <v>7636.0546</v>
      </c>
      <c r="AK7" s="164">
        <f>VLOOKUP(AA7,'FY 2005 TABLE 15'!$A$11:$M$148,6,FALSE)-AC7</f>
        <v>0</v>
      </c>
      <c r="AL7" s="164">
        <f>VLOOKUP(AA7,'FY 2005 TABLE 15'!$A$11:$M$148,7,FALSE)-AD7</f>
        <v>-1.4077971172810066E-05</v>
      </c>
      <c r="AM7" s="164">
        <f>VLOOKUP(AA7,'FY 2005 TABLE 15'!$A$11:$M$148,10,FALSE)-AE7</f>
        <v>0</v>
      </c>
      <c r="AN7" s="164">
        <f>VLOOKUP(AA7,'FY 2005 TABLE 15'!$A$11:$M$148,11,FALSE)-AF7</f>
        <v>2.8239669632057485E-05</v>
      </c>
      <c r="AO7" s="164">
        <f>VLOOKUP(AA7,'FY 2005 TABLE 15'!$A$11:$M$148,4,FALSE)-AG7</f>
        <v>0</v>
      </c>
      <c r="AP7" s="164">
        <f>VLOOKUP(AA7,'FY 2005 TABLE 15'!$A$11:$M$148,5,FALSE)-AH7</f>
        <v>-4.9921329718927154E-05</v>
      </c>
      <c r="AQ7" s="164">
        <f>VLOOKUP(AA7,'FY 2005 TABLE 15'!$A$11:$M$148,12,FALSE)-AI7</f>
        <v>0</v>
      </c>
      <c r="AR7" s="165">
        <f>VLOOKUP(AA7,'FY 2005 TABLE 15'!$A$11:$M$148,13,FALSE)-AJ7</f>
        <v>2.981559191539418E-06</v>
      </c>
    </row>
    <row r="8" spans="1:44" ht="15" customHeight="1">
      <c r="A8" s="172" t="s">
        <v>636</v>
      </c>
      <c r="B8" s="193"/>
      <c r="C8" s="193"/>
      <c r="D8" s="92"/>
      <c r="E8" s="61"/>
      <c r="F8" s="104" t="e">
        <f>SUM(VLOOKUP($A$5,'Source Data'!A2:P137,16,FALSE)+VLOOKUP($A$5,'Source Data'!A2:P137,15,FALSE))</f>
        <v>#N/A</v>
      </c>
      <c r="G8" s="61"/>
      <c r="H8" s="67"/>
      <c r="I8" s="155"/>
      <c r="J8" s="82"/>
      <c r="K8" s="58"/>
      <c r="L8" s="58"/>
      <c r="M8" s="58"/>
      <c r="N8" s="58"/>
      <c r="O8" s="58"/>
      <c r="P8" s="58"/>
      <c r="Q8" s="58"/>
      <c r="R8" s="58"/>
      <c r="S8" s="58"/>
      <c r="T8" s="58"/>
      <c r="U8" s="58"/>
      <c r="V8" s="58"/>
      <c r="W8" s="58"/>
      <c r="X8" s="58"/>
      <c r="Y8" s="58"/>
      <c r="Z8" s="58"/>
      <c r="AA8" s="113">
        <v>7</v>
      </c>
      <c r="AB8" s="114" t="s">
        <v>308</v>
      </c>
      <c r="AC8" s="115">
        <v>24020085.4</v>
      </c>
      <c r="AD8" s="115">
        <v>1348.1116</v>
      </c>
      <c r="AE8" s="115">
        <v>13740260.190000001</v>
      </c>
      <c r="AF8" s="115">
        <v>771.1631</v>
      </c>
      <c r="AG8" s="115">
        <v>249235903.04000038</v>
      </c>
      <c r="AH8" s="115">
        <v>13988.2017</v>
      </c>
      <c r="AI8" s="115">
        <v>302621748.39000034</v>
      </c>
      <c r="AJ8" s="115">
        <v>16984.4473</v>
      </c>
      <c r="AK8" s="164">
        <f>VLOOKUP(AA8,'FY 2005 TABLE 15'!$A$11:$M$148,6,FALSE)-AC8</f>
        <v>0</v>
      </c>
      <c r="AL8" s="164">
        <f>VLOOKUP(AA8,'FY 2005 TABLE 15'!$A$11:$M$148,7,FALSE)-AD8</f>
        <v>-4.9497631152917165E-05</v>
      </c>
      <c r="AM8" s="164">
        <f>VLOOKUP(AA8,'FY 2005 TABLE 15'!$A$11:$M$148,10,FALSE)-AE8</f>
        <v>0</v>
      </c>
      <c r="AN8" s="164">
        <f>VLOOKUP(AA8,'FY 2005 TABLE 15'!$A$11:$M$148,11,FALSE)-AF8</f>
        <v>-2.0933257474098355E-06</v>
      </c>
      <c r="AO8" s="164">
        <f>VLOOKUP(AA8,'FY 2005 TABLE 15'!$A$11:$M$148,4,FALSE)-AG8</f>
        <v>0</v>
      </c>
      <c r="AP8" s="164">
        <f>VLOOKUP(AA8,'FY 2005 TABLE 15'!$A$11:$M$148,5,FALSE)-AH8</f>
        <v>1.089454053726513E-05</v>
      </c>
      <c r="AQ8" s="164">
        <f>VLOOKUP(AA8,'FY 2005 TABLE 15'!$A$11:$M$148,12,FALSE)-AI8</f>
        <v>0</v>
      </c>
      <c r="AR8" s="165">
        <f>VLOOKUP(AA8,'FY 2005 TABLE 15'!$A$11:$M$148,13,FALSE)-AJ8</f>
        <v>-7.494491001125425E-06</v>
      </c>
    </row>
    <row r="9" spans="1:44" s="225" customFormat="1" ht="16.5" customHeight="1">
      <c r="A9" s="226" t="s">
        <v>637</v>
      </c>
      <c r="B9" s="214"/>
      <c r="C9" s="214"/>
      <c r="D9" s="214"/>
      <c r="E9" s="215"/>
      <c r="F9" s="215"/>
      <c r="G9" s="215"/>
      <c r="H9" s="216"/>
      <c r="I9" s="217"/>
      <c r="J9" s="218"/>
      <c r="K9" s="219"/>
      <c r="L9" s="219"/>
      <c r="M9" s="219"/>
      <c r="N9" s="219"/>
      <c r="O9" s="219"/>
      <c r="P9" s="219"/>
      <c r="Q9" s="219"/>
      <c r="R9" s="219"/>
      <c r="S9" s="219"/>
      <c r="T9" s="219"/>
      <c r="U9" s="219"/>
      <c r="V9" s="219"/>
      <c r="W9" s="219"/>
      <c r="X9" s="219"/>
      <c r="Y9" s="219"/>
      <c r="Z9" s="219"/>
      <c r="AA9" s="220">
        <v>8</v>
      </c>
      <c r="AB9" s="221" t="s">
        <v>309</v>
      </c>
      <c r="AC9" s="222">
        <v>39977871.089999996</v>
      </c>
      <c r="AD9" s="222">
        <v>3719.408</v>
      </c>
      <c r="AE9" s="222">
        <v>7816144.400000001</v>
      </c>
      <c r="AF9" s="222">
        <v>727.1881</v>
      </c>
      <c r="AG9" s="222">
        <v>25536923.75999997</v>
      </c>
      <c r="AH9" s="222">
        <v>2375.8704</v>
      </c>
      <c r="AI9" s="222">
        <v>82519637.02999997</v>
      </c>
      <c r="AJ9" s="222">
        <v>7677.3523</v>
      </c>
      <c r="AK9" s="223">
        <f>VLOOKUP(AA9,'FY 2005 TABLE 15'!$A$11:$M$148,6,FALSE)-AC9</f>
        <v>0</v>
      </c>
      <c r="AL9" s="223">
        <f>VLOOKUP(AA9,'FY 2005 TABLE 15'!$A$11:$M$148,7,FALSE)-AD9</f>
        <v>1.6039521597122075E-05</v>
      </c>
      <c r="AM9" s="223">
        <f>VLOOKUP(AA9,'FY 2005 TABLE 15'!$A$11:$M$148,10,FALSE)-AE9</f>
        <v>0</v>
      </c>
      <c r="AN9" s="223">
        <f>VLOOKUP(AA9,'FY 2005 TABLE 15'!$A$11:$M$148,11,FALSE)-AF9</f>
        <v>-4.962994648849417E-05</v>
      </c>
      <c r="AO9" s="223">
        <f>VLOOKUP(AA9,'FY 2005 TABLE 15'!$A$11:$M$148,4,FALSE)-AG9</f>
        <v>0</v>
      </c>
      <c r="AP9" s="223">
        <f>VLOOKUP(AA9,'FY 2005 TABLE 15'!$A$11:$M$148,5,FALSE)-AH9</f>
        <v>-4.101801005162997E-05</v>
      </c>
      <c r="AQ9" s="223">
        <f>VLOOKUP(AA9,'FY 2005 TABLE 15'!$A$11:$M$148,12,FALSE)-AI9</f>
        <v>0</v>
      </c>
      <c r="AR9" s="224">
        <f>VLOOKUP(AA9,'FY 2005 TABLE 15'!$A$11:$M$148,13,FALSE)-AJ9</f>
        <v>-2.781191960821161E-05</v>
      </c>
    </row>
    <row r="10" spans="1:44" ht="15">
      <c r="A10" s="200" t="s">
        <v>638</v>
      </c>
      <c r="B10" s="201"/>
      <c r="C10" s="201"/>
      <c r="D10" s="201"/>
      <c r="E10" s="94"/>
      <c r="F10" s="97" t="e">
        <f>VLOOKUP($A$5,'Source Data'!A2:P137,15,FALSE)</f>
        <v>#N/A</v>
      </c>
      <c r="G10" s="61"/>
      <c r="H10" s="67"/>
      <c r="I10" s="155"/>
      <c r="J10" s="82"/>
      <c r="K10" s="58"/>
      <c r="L10" s="58"/>
      <c r="M10" s="58"/>
      <c r="N10" s="58"/>
      <c r="O10" s="58"/>
      <c r="P10" s="58"/>
      <c r="Q10" s="58"/>
      <c r="R10" s="58"/>
      <c r="S10" s="58"/>
      <c r="T10" s="58"/>
      <c r="U10" s="58"/>
      <c r="V10" s="58"/>
      <c r="W10" s="58"/>
      <c r="X10" s="58"/>
      <c r="Y10" s="58"/>
      <c r="Z10" s="58"/>
      <c r="AA10" s="113">
        <v>9</v>
      </c>
      <c r="AB10" s="114" t="s">
        <v>310</v>
      </c>
      <c r="AC10" s="115">
        <v>1173135.2</v>
      </c>
      <c r="AD10" s="115">
        <v>1507.1304</v>
      </c>
      <c r="AE10" s="115">
        <v>752842.42</v>
      </c>
      <c r="AF10" s="115">
        <v>967.1789</v>
      </c>
      <c r="AG10" s="115">
        <v>6781117.889999994</v>
      </c>
      <c r="AH10" s="115">
        <v>8711.7228</v>
      </c>
      <c r="AI10" s="115">
        <v>9342734.909999995</v>
      </c>
      <c r="AJ10" s="115">
        <v>12002.6399</v>
      </c>
      <c r="AK10" s="164">
        <f>VLOOKUP(AA10,'FY 2005 TABLE 15'!$A$11:$M$148,6,FALSE)-AC10</f>
        <v>0</v>
      </c>
      <c r="AL10" s="164">
        <f>VLOOKUP(AA10,'FY 2005 TABLE 15'!$A$11:$M$148,7,FALSE)-AD10</f>
        <v>-4.1182440781994956E-05</v>
      </c>
      <c r="AM10" s="164">
        <f>VLOOKUP(AA10,'FY 2005 TABLE 15'!$A$11:$M$148,10,FALSE)-AE10</f>
        <v>0</v>
      </c>
      <c r="AN10" s="164">
        <f>VLOOKUP(AA10,'FY 2005 TABLE 15'!$A$11:$M$148,11,FALSE)-AF10</f>
        <v>4.628656597560621E-05</v>
      </c>
      <c r="AO10" s="164">
        <f>VLOOKUP(AA10,'FY 2005 TABLE 15'!$A$11:$M$148,4,FALSE)-AG10</f>
        <v>0</v>
      </c>
      <c r="AP10" s="164">
        <f>VLOOKUP(AA10,'FY 2005 TABLE 15'!$A$11:$M$148,5,FALSE)-AH10</f>
        <v>-2.6069201339851134E-05</v>
      </c>
      <c r="AQ10" s="164">
        <f>VLOOKUP(AA10,'FY 2005 TABLE 15'!$A$11:$M$148,12,FALSE)-AI10</f>
        <v>0</v>
      </c>
      <c r="AR10" s="165">
        <f>VLOOKUP(AA10,'FY 2005 TABLE 15'!$A$11:$M$148,13,FALSE)-AJ10</f>
        <v>4.912575241178274E-05</v>
      </c>
    </row>
    <row r="11" spans="1:44" ht="6.75" customHeight="1" thickBot="1">
      <c r="A11" s="95"/>
      <c r="B11" s="96"/>
      <c r="C11" s="96"/>
      <c r="D11" s="96"/>
      <c r="E11" s="94"/>
      <c r="F11" s="99"/>
      <c r="G11" s="61"/>
      <c r="H11" s="67"/>
      <c r="I11" s="155"/>
      <c r="J11" s="82"/>
      <c r="K11" s="58"/>
      <c r="L11" s="58"/>
      <c r="M11" s="58"/>
      <c r="N11" s="58"/>
      <c r="O11" s="58"/>
      <c r="P11" s="58"/>
      <c r="Q11" s="58"/>
      <c r="R11" s="58"/>
      <c r="S11" s="58"/>
      <c r="T11" s="58"/>
      <c r="U11" s="58"/>
      <c r="V11" s="58"/>
      <c r="W11" s="58"/>
      <c r="X11" s="58"/>
      <c r="Y11" s="58"/>
      <c r="Z11" s="58"/>
      <c r="AA11" s="113">
        <v>10</v>
      </c>
      <c r="AB11" s="114" t="s">
        <v>311</v>
      </c>
      <c r="AC11" s="115">
        <v>33366557.570000008</v>
      </c>
      <c r="AD11" s="115">
        <v>3365.953</v>
      </c>
      <c r="AE11" s="115">
        <v>5620054.229999999</v>
      </c>
      <c r="AF11" s="115">
        <v>566.9401</v>
      </c>
      <c r="AG11" s="115">
        <v>25106696.859999992</v>
      </c>
      <c r="AH11" s="115">
        <v>2532.7144</v>
      </c>
      <c r="AI11" s="115">
        <v>71919922.02</v>
      </c>
      <c r="AJ11" s="115">
        <v>7255.1409</v>
      </c>
      <c r="AK11" s="164">
        <f>VLOOKUP(AA11,'FY 2005 TABLE 15'!$A$11:$M$148,6,FALSE)-AC11</f>
        <v>0</v>
      </c>
      <c r="AL11" s="164">
        <f>VLOOKUP(AA11,'FY 2005 TABLE 15'!$A$11:$M$148,7,FALSE)-AD11</f>
        <v>1.201659370053676E-05</v>
      </c>
      <c r="AM11" s="164">
        <f>VLOOKUP(AA11,'FY 2005 TABLE 15'!$A$11:$M$148,10,FALSE)-AE11</f>
        <v>0</v>
      </c>
      <c r="AN11" s="164">
        <f>VLOOKUP(AA11,'FY 2005 TABLE 15'!$A$11:$M$148,11,FALSE)-AF11</f>
        <v>-3.063625808863435E-05</v>
      </c>
      <c r="AO11" s="164">
        <f>VLOOKUP(AA11,'FY 2005 TABLE 15'!$A$11:$M$148,4,FALSE)-AG11</f>
        <v>0</v>
      </c>
      <c r="AP11" s="164">
        <f>VLOOKUP(AA11,'FY 2005 TABLE 15'!$A$11:$M$148,5,FALSE)-AH11</f>
        <v>3.241978129153722E-05</v>
      </c>
      <c r="AQ11" s="164">
        <f>VLOOKUP(AA11,'FY 2005 TABLE 15'!$A$11:$M$148,12,FALSE)-AI11</f>
        <v>0</v>
      </c>
      <c r="AR11" s="165">
        <f>VLOOKUP(AA11,'FY 2005 TABLE 15'!$A$11:$M$148,13,FALSE)-AJ11</f>
        <v>4.881851600657683E-05</v>
      </c>
    </row>
    <row r="12" spans="1:44" ht="16.5" thickBot="1">
      <c r="A12" s="93" t="s">
        <v>441</v>
      </c>
      <c r="B12" s="70"/>
      <c r="C12" s="96"/>
      <c r="D12" s="96"/>
      <c r="E12" s="94"/>
      <c r="G12" s="61"/>
      <c r="H12" s="111" t="e">
        <f>SUM(F8-F10)</f>
        <v>#N/A</v>
      </c>
      <c r="I12" s="155" t="e">
        <f>VLOOKUP($A$5,'FY 2005 TABLE 15'!A11:M148,12,FALSE)</f>
        <v>#N/A</v>
      </c>
      <c r="J12" s="82" t="e">
        <f>IF(H12=I12,"OK","???")</f>
        <v>#N/A</v>
      </c>
      <c r="K12" s="58"/>
      <c r="L12" s="58"/>
      <c r="M12" s="58"/>
      <c r="N12" s="58"/>
      <c r="O12" s="58"/>
      <c r="P12" s="58"/>
      <c r="Q12" s="58"/>
      <c r="R12" s="58"/>
      <c r="S12" s="58"/>
      <c r="T12" s="58"/>
      <c r="U12" s="58"/>
      <c r="V12" s="58"/>
      <c r="W12" s="58"/>
      <c r="X12" s="58"/>
      <c r="Y12" s="58"/>
      <c r="Z12" s="58"/>
      <c r="AA12" s="113">
        <v>11</v>
      </c>
      <c r="AB12" s="114" t="s">
        <v>312</v>
      </c>
      <c r="AC12" s="115">
        <v>4417727.66</v>
      </c>
      <c r="AD12" s="115">
        <v>4947.0081</v>
      </c>
      <c r="AE12" s="115">
        <v>615723.74</v>
      </c>
      <c r="AF12" s="115">
        <v>689.4925</v>
      </c>
      <c r="AG12" s="115">
        <v>1801943.56</v>
      </c>
      <c r="AH12" s="115">
        <v>2017.8313</v>
      </c>
      <c r="AI12" s="115">
        <v>7554908.2799999975</v>
      </c>
      <c r="AJ12" s="115">
        <v>8460.0489</v>
      </c>
      <c r="AK12" s="164">
        <f>VLOOKUP(AA12,'FY 2005 TABLE 15'!$A$11:$M$148,6,FALSE)-AC12</f>
        <v>0</v>
      </c>
      <c r="AL12" s="164">
        <f>VLOOKUP(AA12,'FY 2005 TABLE 15'!$A$11:$M$148,7,FALSE)-AD12</f>
        <v>-4.857840303884586E-05</v>
      </c>
      <c r="AM12" s="164">
        <f>VLOOKUP(AA12,'FY 2005 TABLE 15'!$A$11:$M$148,10,FALSE)-AE12</f>
        <v>0</v>
      </c>
      <c r="AN12" s="164">
        <f>VLOOKUP(AA12,'FY 2005 TABLE 15'!$A$11:$M$148,11,FALSE)-AF12</f>
        <v>4.767583789089258E-05</v>
      </c>
      <c r="AO12" s="164">
        <f>VLOOKUP(AA12,'FY 2005 TABLE 15'!$A$11:$M$148,4,FALSE)-AG12</f>
        <v>-3.259629011154175E-09</v>
      </c>
      <c r="AP12" s="164">
        <f>VLOOKUP(AA12,'FY 2005 TABLE 15'!$A$11:$M$148,5,FALSE)-AH12</f>
        <v>3.447553422120109E-05</v>
      </c>
      <c r="AQ12" s="164">
        <f>VLOOKUP(AA12,'FY 2005 TABLE 15'!$A$11:$M$148,12,FALSE)-AI12</f>
        <v>0</v>
      </c>
      <c r="AR12" s="165">
        <f>VLOOKUP(AA12,'FY 2005 TABLE 15'!$A$11:$M$148,13,FALSE)-AJ12</f>
        <v>1.3226053852122277E-05</v>
      </c>
    </row>
    <row r="13" spans="1:44" ht="21.75" customHeight="1">
      <c r="A13" s="60"/>
      <c r="B13" s="61"/>
      <c r="C13" s="61"/>
      <c r="D13" s="61"/>
      <c r="E13" s="61"/>
      <c r="F13" s="61"/>
      <c r="G13" s="61"/>
      <c r="H13" s="67"/>
      <c r="I13" s="155"/>
      <c r="J13" s="82"/>
      <c r="K13" s="58"/>
      <c r="L13" s="58"/>
      <c r="M13" s="58"/>
      <c r="N13" s="58"/>
      <c r="O13" s="58"/>
      <c r="P13" s="58"/>
      <c r="Q13" s="58"/>
      <c r="R13" s="58"/>
      <c r="S13" s="58"/>
      <c r="T13" s="58"/>
      <c r="U13" s="58"/>
      <c r="V13" s="58"/>
      <c r="W13" s="58"/>
      <c r="X13" s="58"/>
      <c r="Y13" s="58"/>
      <c r="Z13" s="58"/>
      <c r="AA13" s="113">
        <v>12</v>
      </c>
      <c r="AB13" s="114" t="s">
        <v>313</v>
      </c>
      <c r="AC13" s="115">
        <v>15825834.309999999</v>
      </c>
      <c r="AD13" s="115">
        <v>3315.4148</v>
      </c>
      <c r="AE13" s="115">
        <v>1821981.18</v>
      </c>
      <c r="AF13" s="115">
        <v>381.6938</v>
      </c>
      <c r="AG13" s="115">
        <v>17187201.879999977</v>
      </c>
      <c r="AH13" s="115">
        <v>3600.613</v>
      </c>
      <c r="AI13" s="115">
        <v>39060292.829999976</v>
      </c>
      <c r="AJ13" s="115">
        <v>8182.8908</v>
      </c>
      <c r="AK13" s="164">
        <f>VLOOKUP(AA13,'FY 2005 TABLE 15'!$A$11:$M$148,6,FALSE)-AC13</f>
        <v>0</v>
      </c>
      <c r="AL13" s="164">
        <f>VLOOKUP(AA13,'FY 2005 TABLE 15'!$A$11:$M$148,7,FALSE)-AD13</f>
        <v>3.1326032967626816E-05</v>
      </c>
      <c r="AM13" s="164">
        <f>VLOOKUP(AA13,'FY 2005 TABLE 15'!$A$11:$M$148,10,FALSE)-AE13</f>
        <v>0</v>
      </c>
      <c r="AN13" s="164">
        <f>VLOOKUP(AA13,'FY 2005 TABLE 15'!$A$11:$M$148,11,FALSE)-AF13</f>
        <v>3.731965199449405E-05</v>
      </c>
      <c r="AO13" s="164">
        <f>VLOOKUP(AA13,'FY 2005 TABLE 15'!$A$11:$M$148,4,FALSE)-AG13</f>
        <v>0</v>
      </c>
      <c r="AP13" s="164">
        <f>VLOOKUP(AA13,'FY 2005 TABLE 15'!$A$11:$M$148,5,FALSE)-AH13</f>
        <v>-4.6157782890077215E-05</v>
      </c>
      <c r="AQ13" s="164">
        <f>VLOOKUP(AA13,'FY 2005 TABLE 15'!$A$11:$M$148,12,FALSE)-AI13</f>
        <v>0</v>
      </c>
      <c r="AR13" s="165">
        <f>VLOOKUP(AA13,'FY 2005 TABLE 15'!$A$11:$M$148,13,FALSE)-AJ13</f>
        <v>1.180958224722417E-05</v>
      </c>
    </row>
    <row r="14" spans="1:44" ht="15" customHeight="1">
      <c r="A14" s="172" t="s">
        <v>444</v>
      </c>
      <c r="B14" s="193"/>
      <c r="C14" s="193"/>
      <c r="D14" s="61"/>
      <c r="E14" s="68"/>
      <c r="F14" s="32" t="e">
        <f>SUM(VLOOKUP($A$5,'Source Data'!A2:P137,2,FALSE)-VLOOKUP($A$5,'Source Data'!A2:P137,6,FALSE))</f>
        <v>#N/A</v>
      </c>
      <c r="G14" s="61"/>
      <c r="H14" s="85"/>
      <c r="I14" s="155"/>
      <c r="J14" s="82"/>
      <c r="K14" s="58"/>
      <c r="L14" s="58"/>
      <c r="M14" s="58"/>
      <c r="N14" s="58"/>
      <c r="O14" s="58"/>
      <c r="P14" s="58"/>
      <c r="Q14" s="58"/>
      <c r="R14" s="58"/>
      <c r="S14" s="58"/>
      <c r="T14" s="58"/>
      <c r="U14" s="58"/>
      <c r="V14" s="58"/>
      <c r="W14" s="58"/>
      <c r="X14" s="58"/>
      <c r="Y14" s="58"/>
      <c r="Z14" s="58"/>
      <c r="AA14" s="113">
        <v>13</v>
      </c>
      <c r="AB14" s="114" t="s">
        <v>314</v>
      </c>
      <c r="AC14" s="115">
        <v>11761358.86</v>
      </c>
      <c r="AD14" s="115">
        <v>5324.3874</v>
      </c>
      <c r="AE14" s="115">
        <v>2962159.5</v>
      </c>
      <c r="AF14" s="115">
        <v>1340.9747</v>
      </c>
      <c r="AG14" s="115">
        <v>5105756.509999979</v>
      </c>
      <c r="AH14" s="115">
        <v>2311.3848</v>
      </c>
      <c r="AI14" s="115">
        <v>21981165.34999998</v>
      </c>
      <c r="AJ14" s="115">
        <v>9950.9114</v>
      </c>
      <c r="AK14" s="164">
        <f>VLOOKUP(AA14,'FY 2005 TABLE 15'!$A$11:$M$148,6,FALSE)-AC14</f>
        <v>0</v>
      </c>
      <c r="AL14" s="164">
        <f>VLOOKUP(AA14,'FY 2005 TABLE 15'!$A$11:$M$148,7,FALSE)-AD14</f>
        <v>3.11893381876871E-05</v>
      </c>
      <c r="AM14" s="164">
        <f>VLOOKUP(AA14,'FY 2005 TABLE 15'!$A$11:$M$148,10,FALSE)-AE14</f>
        <v>0</v>
      </c>
      <c r="AN14" s="164">
        <f>VLOOKUP(AA14,'FY 2005 TABLE 15'!$A$11:$M$148,11,FALSE)-AF14</f>
        <v>1.2081703516741982E-05</v>
      </c>
      <c r="AO14" s="164">
        <f>VLOOKUP(AA14,'FY 2005 TABLE 15'!$A$11:$M$148,4,FALSE)-AG14</f>
        <v>0</v>
      </c>
      <c r="AP14" s="164">
        <f>VLOOKUP(AA14,'FY 2005 TABLE 15'!$A$11:$M$148,5,FALSE)-AH14</f>
        <v>-2.6169790544372518E-05</v>
      </c>
      <c r="AQ14" s="164">
        <f>VLOOKUP(AA14,'FY 2005 TABLE 15'!$A$11:$M$148,12,FALSE)-AI14</f>
        <v>0</v>
      </c>
      <c r="AR14" s="165">
        <f>VLOOKUP(AA14,'FY 2005 TABLE 15'!$A$11:$M$148,13,FALSE)-AJ14</f>
        <v>4.7015779273351654E-05</v>
      </c>
    </row>
    <row r="15" spans="1:44" ht="6.75" customHeight="1">
      <c r="A15" s="60"/>
      <c r="B15" s="68"/>
      <c r="C15" s="68"/>
      <c r="D15" s="68"/>
      <c r="E15" s="68"/>
      <c r="F15" s="33"/>
      <c r="G15" s="61"/>
      <c r="H15" s="69"/>
      <c r="I15" s="155"/>
      <c r="J15" s="82"/>
      <c r="K15" s="58"/>
      <c r="L15" s="58"/>
      <c r="M15" s="58"/>
      <c r="N15" s="58"/>
      <c r="O15" s="58"/>
      <c r="P15" s="58"/>
      <c r="Q15" s="58"/>
      <c r="R15" s="58"/>
      <c r="S15" s="58"/>
      <c r="T15" s="58"/>
      <c r="U15" s="58"/>
      <c r="V15" s="58"/>
      <c r="W15" s="58"/>
      <c r="X15" s="58"/>
      <c r="Y15" s="58"/>
      <c r="Z15" s="58"/>
      <c r="AA15" s="113">
        <v>14</v>
      </c>
      <c r="AB15" s="114" t="s">
        <v>315</v>
      </c>
      <c r="AC15" s="115">
        <v>16502571.19</v>
      </c>
      <c r="AD15" s="115">
        <v>4715.6536</v>
      </c>
      <c r="AE15" s="115">
        <v>4462884.86</v>
      </c>
      <c r="AF15" s="115">
        <v>1275.2812</v>
      </c>
      <c r="AG15" s="115">
        <v>8524313.20000001</v>
      </c>
      <c r="AH15" s="115">
        <v>2435.8452</v>
      </c>
      <c r="AI15" s="115">
        <v>32268005.55000001</v>
      </c>
      <c r="AJ15" s="115">
        <v>9220.6684</v>
      </c>
      <c r="AK15" s="164">
        <f>VLOOKUP(AA15,'FY 2005 TABLE 15'!$A$11:$M$148,6,FALSE)-AC15</f>
        <v>0</v>
      </c>
      <c r="AL15" s="164">
        <f>VLOOKUP(AA15,'FY 2005 TABLE 15'!$A$11:$M$148,7,FALSE)-AD15</f>
        <v>-1.5090026863617823E-05</v>
      </c>
      <c r="AM15" s="164">
        <f>VLOOKUP(AA15,'FY 2005 TABLE 15'!$A$11:$M$148,10,FALSE)-AE15</f>
        <v>0</v>
      </c>
      <c r="AN15" s="164">
        <f>VLOOKUP(AA15,'FY 2005 TABLE 15'!$A$11:$M$148,11,FALSE)-AF15</f>
        <v>1.2048475127812708E-05</v>
      </c>
      <c r="AO15" s="164">
        <f>VLOOKUP(AA15,'FY 2005 TABLE 15'!$A$11:$M$148,4,FALSE)-AG15</f>
        <v>0</v>
      </c>
      <c r="AP15" s="164">
        <f>VLOOKUP(AA15,'FY 2005 TABLE 15'!$A$11:$M$148,5,FALSE)-AH15</f>
        <v>-4.3650431052810745E-05</v>
      </c>
      <c r="AQ15" s="164">
        <f>VLOOKUP(AA15,'FY 2005 TABLE 15'!$A$11:$M$148,12,FALSE)-AI15</f>
        <v>0</v>
      </c>
      <c r="AR15" s="165">
        <f>VLOOKUP(AA15,'FY 2005 TABLE 15'!$A$11:$M$148,13,FALSE)-AJ15</f>
        <v>-3.8820069676148705E-05</v>
      </c>
    </row>
    <row r="16" spans="1:44" ht="15">
      <c r="A16" s="101" t="s">
        <v>2</v>
      </c>
      <c r="B16" s="61"/>
      <c r="C16" s="61"/>
      <c r="D16" s="61"/>
      <c r="E16" s="61"/>
      <c r="F16" s="34" t="e">
        <f>VLOOKUP($A$5,'Source Data'!A2:P137,3,FALSE)</f>
        <v>#N/A</v>
      </c>
      <c r="G16" s="61"/>
      <c r="H16" s="69"/>
      <c r="I16" s="155"/>
      <c r="J16" s="82"/>
      <c r="K16" s="58"/>
      <c r="L16" s="58"/>
      <c r="M16" s="58"/>
      <c r="N16" s="58"/>
      <c r="O16" s="58"/>
      <c r="P16" s="58"/>
      <c r="Q16" s="58"/>
      <c r="R16" s="58"/>
      <c r="S16" s="58"/>
      <c r="T16" s="58"/>
      <c r="U16" s="58"/>
      <c r="V16" s="58"/>
      <c r="W16" s="58"/>
      <c r="X16" s="58"/>
      <c r="Y16" s="58"/>
      <c r="Z16" s="58"/>
      <c r="AA16" s="113">
        <v>15</v>
      </c>
      <c r="AB16" s="114" t="s">
        <v>316</v>
      </c>
      <c r="AC16" s="115">
        <v>9897899.319999998</v>
      </c>
      <c r="AD16" s="115">
        <v>4597.4942</v>
      </c>
      <c r="AE16" s="115">
        <v>2593291.16</v>
      </c>
      <c r="AF16" s="115">
        <v>1204.5628</v>
      </c>
      <c r="AG16" s="115">
        <v>4768090.88</v>
      </c>
      <c r="AH16" s="115">
        <v>2214.7397</v>
      </c>
      <c r="AI16" s="115">
        <v>19175210.78</v>
      </c>
      <c r="AJ16" s="115">
        <v>8906.7304</v>
      </c>
      <c r="AK16" s="164">
        <f>VLOOKUP(AA16,'FY 2005 TABLE 15'!$A$11:$M$148,6,FALSE)-AC16</f>
        <v>0</v>
      </c>
      <c r="AL16" s="164">
        <f>VLOOKUP(AA16,'FY 2005 TABLE 15'!$A$11:$M$148,7,FALSE)-AD16</f>
        <v>1.4753191862837411E-05</v>
      </c>
      <c r="AM16" s="164">
        <f>VLOOKUP(AA16,'FY 2005 TABLE 15'!$A$11:$M$148,10,FALSE)-AE16</f>
        <v>0</v>
      </c>
      <c r="AN16" s="164">
        <f>VLOOKUP(AA16,'FY 2005 TABLE 15'!$A$11:$M$148,11,FALSE)-AF16</f>
        <v>-2.159515793209721E-05</v>
      </c>
      <c r="AO16" s="164">
        <f>VLOOKUP(AA16,'FY 2005 TABLE 15'!$A$11:$M$148,4,FALSE)-AG16</f>
        <v>0</v>
      </c>
      <c r="AP16" s="164">
        <f>VLOOKUP(AA16,'FY 2005 TABLE 15'!$A$11:$M$148,5,FALSE)-AH16</f>
        <v>-3.37838891937281E-05</v>
      </c>
      <c r="AQ16" s="164">
        <f>VLOOKUP(AA16,'FY 2005 TABLE 15'!$A$11:$M$148,12,FALSE)-AI16</f>
        <v>0</v>
      </c>
      <c r="AR16" s="165">
        <f>VLOOKUP(AA16,'FY 2005 TABLE 15'!$A$11:$M$148,13,FALSE)-AJ16</f>
        <v>-1.4332361388369463E-05</v>
      </c>
    </row>
    <row r="17" spans="1:44" ht="6.75" customHeight="1">
      <c r="A17" s="102"/>
      <c r="B17" s="61"/>
      <c r="C17" s="61"/>
      <c r="D17" s="61"/>
      <c r="E17" s="61"/>
      <c r="F17" s="68"/>
      <c r="G17" s="61"/>
      <c r="H17" s="69"/>
      <c r="I17" s="155"/>
      <c r="J17" s="82"/>
      <c r="K17" s="58"/>
      <c r="L17" s="58"/>
      <c r="M17" s="58"/>
      <c r="N17" s="58"/>
      <c r="O17" s="58"/>
      <c r="P17" s="58"/>
      <c r="Q17" s="58"/>
      <c r="R17" s="58"/>
      <c r="S17" s="58"/>
      <c r="T17" s="58"/>
      <c r="U17" s="58"/>
      <c r="V17" s="58"/>
      <c r="W17" s="58"/>
      <c r="X17" s="58"/>
      <c r="Y17" s="58"/>
      <c r="Z17" s="58"/>
      <c r="AA17" s="113">
        <v>16</v>
      </c>
      <c r="AB17" s="114" t="s">
        <v>317</v>
      </c>
      <c r="AC17" s="115">
        <v>34246807.35000001</v>
      </c>
      <c r="AD17" s="115">
        <v>3950.1949</v>
      </c>
      <c r="AE17" s="115">
        <v>4817776.24</v>
      </c>
      <c r="AF17" s="115">
        <v>555.706</v>
      </c>
      <c r="AG17" s="115">
        <v>19114015.049999982</v>
      </c>
      <c r="AH17" s="115">
        <v>2204.7043</v>
      </c>
      <c r="AI17" s="115">
        <v>65448764.15999999</v>
      </c>
      <c r="AJ17" s="115">
        <v>7549.1818</v>
      </c>
      <c r="AK17" s="164">
        <f>VLOOKUP(AA17,'FY 2005 TABLE 15'!$A$11:$M$148,6,FALSE)-AC17</f>
        <v>0</v>
      </c>
      <c r="AL17" s="164">
        <f>VLOOKUP(AA17,'FY 2005 TABLE 15'!$A$11:$M$148,7,FALSE)-AD17</f>
        <v>1.5596363482472952E-05</v>
      </c>
      <c r="AM17" s="164">
        <f>VLOOKUP(AA17,'FY 2005 TABLE 15'!$A$11:$M$148,10,FALSE)-AE17</f>
        <v>0</v>
      </c>
      <c r="AN17" s="164">
        <f>VLOOKUP(AA17,'FY 2005 TABLE 15'!$A$11:$M$148,11,FALSE)-AF17</f>
        <v>-3.263107498696627E-05</v>
      </c>
      <c r="AO17" s="164">
        <f>VLOOKUP(AA17,'FY 2005 TABLE 15'!$A$11:$M$148,4,FALSE)-AG17</f>
        <v>0</v>
      </c>
      <c r="AP17" s="164">
        <f>VLOOKUP(AA17,'FY 2005 TABLE 15'!$A$11:$M$148,5,FALSE)-AH17</f>
        <v>4.79263849229028E-05</v>
      </c>
      <c r="AQ17" s="164">
        <f>VLOOKUP(AA17,'FY 2005 TABLE 15'!$A$11:$M$148,12,FALSE)-AI17</f>
        <v>0</v>
      </c>
      <c r="AR17" s="165">
        <f>VLOOKUP(AA17,'FY 2005 TABLE 15'!$A$11:$M$148,13,FALSE)-AJ17</f>
        <v>1.9335266188136302E-05</v>
      </c>
    </row>
    <row r="18" spans="1:44" ht="15">
      <c r="A18" s="101" t="s">
        <v>3</v>
      </c>
      <c r="B18" s="61"/>
      <c r="C18" s="61"/>
      <c r="D18" s="61"/>
      <c r="E18" s="61"/>
      <c r="F18" s="32" t="e">
        <f>VLOOKUP($A$5,'Source Data'!A2:P137,4,FALSE)</f>
        <v>#N/A</v>
      </c>
      <c r="G18" s="61"/>
      <c r="H18" s="69"/>
      <c r="I18" s="155"/>
      <c r="J18" s="82"/>
      <c r="K18" s="58"/>
      <c r="L18" s="58"/>
      <c r="M18" s="58"/>
      <c r="N18" s="58"/>
      <c r="O18" s="58"/>
      <c r="P18" s="58"/>
      <c r="Q18" s="58"/>
      <c r="R18" s="58"/>
      <c r="S18" s="58"/>
      <c r="T18" s="58"/>
      <c r="U18" s="58"/>
      <c r="V18" s="58"/>
      <c r="W18" s="58"/>
      <c r="X18" s="58"/>
      <c r="Y18" s="58"/>
      <c r="Z18" s="58"/>
      <c r="AA18" s="113">
        <v>17</v>
      </c>
      <c r="AB18" s="114" t="s">
        <v>318</v>
      </c>
      <c r="AC18" s="115">
        <v>15496348.52</v>
      </c>
      <c r="AD18" s="115">
        <v>4104.6777</v>
      </c>
      <c r="AE18" s="115">
        <v>4090930.03</v>
      </c>
      <c r="AF18" s="115">
        <v>1083.6068</v>
      </c>
      <c r="AG18" s="115">
        <v>7532445.62</v>
      </c>
      <c r="AH18" s="115">
        <v>1995.1966</v>
      </c>
      <c r="AI18" s="115">
        <v>30024117.93</v>
      </c>
      <c r="AJ18" s="115">
        <v>7952.7978</v>
      </c>
      <c r="AK18" s="164">
        <f>VLOOKUP(AA18,'FY 2005 TABLE 15'!$A$11:$M$148,6,FALSE)-AC18</f>
        <v>0</v>
      </c>
      <c r="AL18" s="164">
        <f>VLOOKUP(AA18,'FY 2005 TABLE 15'!$A$11:$M$148,7,FALSE)-AD18</f>
        <v>-4.0800309761834797E-05</v>
      </c>
      <c r="AM18" s="164">
        <f>VLOOKUP(AA18,'FY 2005 TABLE 15'!$A$11:$M$148,10,FALSE)-AE18</f>
        <v>0</v>
      </c>
      <c r="AN18" s="164">
        <f>VLOOKUP(AA18,'FY 2005 TABLE 15'!$A$11:$M$148,11,FALSE)-AF18</f>
        <v>3.020377243956318E-05</v>
      </c>
      <c r="AO18" s="164">
        <f>VLOOKUP(AA18,'FY 2005 TABLE 15'!$A$11:$M$148,4,FALSE)-AG18</f>
        <v>0</v>
      </c>
      <c r="AP18" s="164">
        <f>VLOOKUP(AA18,'FY 2005 TABLE 15'!$A$11:$M$148,5,FALSE)-AH18</f>
        <v>-4.026551573588222E-05</v>
      </c>
      <c r="AQ18" s="164">
        <f>VLOOKUP(AA18,'FY 2005 TABLE 15'!$A$11:$M$148,12,FALSE)-AI18</f>
        <v>0</v>
      </c>
      <c r="AR18" s="165">
        <f>VLOOKUP(AA18,'FY 2005 TABLE 15'!$A$11:$M$148,13,FALSE)-AJ18</f>
        <v>-2.02267910935916E-05</v>
      </c>
    </row>
    <row r="19" spans="1:44" ht="6.75" customHeight="1">
      <c r="A19" s="102"/>
      <c r="B19" s="61"/>
      <c r="C19" s="61"/>
      <c r="D19" s="61"/>
      <c r="E19" s="61"/>
      <c r="F19" s="68"/>
      <c r="G19" s="61"/>
      <c r="H19" s="69"/>
      <c r="I19" s="155"/>
      <c r="J19" s="82"/>
      <c r="K19" s="58"/>
      <c r="L19" s="58"/>
      <c r="M19" s="58"/>
      <c r="N19" s="58"/>
      <c r="O19" s="58"/>
      <c r="P19" s="58"/>
      <c r="Q19" s="58"/>
      <c r="R19" s="58"/>
      <c r="S19" s="58"/>
      <c r="T19" s="58"/>
      <c r="U19" s="58"/>
      <c r="V19" s="58"/>
      <c r="W19" s="58"/>
      <c r="X19" s="58"/>
      <c r="Y19" s="58"/>
      <c r="Z19" s="58"/>
      <c r="AA19" s="113">
        <v>18</v>
      </c>
      <c r="AB19" s="114" t="s">
        <v>319</v>
      </c>
      <c r="AC19" s="115">
        <v>16115097.01</v>
      </c>
      <c r="AD19" s="115">
        <v>4014.4327</v>
      </c>
      <c r="AE19" s="115">
        <v>5050361.98</v>
      </c>
      <c r="AF19" s="115">
        <v>1258.0959</v>
      </c>
      <c r="AG19" s="115">
        <v>8594474.760000043</v>
      </c>
      <c r="AH19" s="115">
        <v>2140.9701</v>
      </c>
      <c r="AI19" s="115">
        <v>33189752.41000004</v>
      </c>
      <c r="AJ19" s="115">
        <v>8267.901</v>
      </c>
      <c r="AK19" s="164">
        <f>VLOOKUP(AA19,'FY 2005 TABLE 15'!$A$11:$M$148,6,FALSE)-AC19</f>
        <v>0</v>
      </c>
      <c r="AL19" s="164">
        <f>VLOOKUP(AA19,'FY 2005 TABLE 15'!$A$11:$M$148,7,FALSE)-AD19</f>
        <v>-8.291129688586807E-06</v>
      </c>
      <c r="AM19" s="164">
        <f>VLOOKUP(AA19,'FY 2005 TABLE 15'!$A$11:$M$148,10,FALSE)-AE19</f>
        <v>0</v>
      </c>
      <c r="AN19" s="164">
        <f>VLOOKUP(AA19,'FY 2005 TABLE 15'!$A$11:$M$148,11,FALSE)-AF19</f>
        <v>4.72285262276273E-05</v>
      </c>
      <c r="AO19" s="164">
        <f>VLOOKUP(AA19,'FY 2005 TABLE 15'!$A$11:$M$148,4,FALSE)-AG19</f>
        <v>0</v>
      </c>
      <c r="AP19" s="164">
        <f>VLOOKUP(AA19,'FY 2005 TABLE 15'!$A$11:$M$148,5,FALSE)-AH19</f>
        <v>-2.5590816676412942E-05</v>
      </c>
      <c r="AQ19" s="164">
        <f>VLOOKUP(AA19,'FY 2005 TABLE 15'!$A$11:$M$148,12,FALSE)-AI19</f>
        <v>0</v>
      </c>
      <c r="AR19" s="165">
        <f>VLOOKUP(AA19,'FY 2005 TABLE 15'!$A$11:$M$148,13,FALSE)-AJ19</f>
        <v>2.6084324417752214E-05</v>
      </c>
    </row>
    <row r="20" spans="1:44" ht="15">
      <c r="A20" s="101" t="s">
        <v>616</v>
      </c>
      <c r="B20" s="61"/>
      <c r="C20" s="61"/>
      <c r="D20" s="61"/>
      <c r="E20" s="61"/>
      <c r="F20" s="32" t="e">
        <f>VLOOKUP($A$5,'Source Data'!A2:P137,5,FALSE)</f>
        <v>#N/A</v>
      </c>
      <c r="G20" s="61"/>
      <c r="H20" s="69"/>
      <c r="I20" s="155"/>
      <c r="J20" s="82"/>
      <c r="K20" s="58"/>
      <c r="L20" s="58"/>
      <c r="M20" s="58"/>
      <c r="N20" s="58"/>
      <c r="O20" s="58"/>
      <c r="P20" s="58"/>
      <c r="Q20" s="58"/>
      <c r="R20" s="58"/>
      <c r="S20" s="58"/>
      <c r="T20" s="58"/>
      <c r="U20" s="58"/>
      <c r="V20" s="58"/>
      <c r="W20" s="58"/>
      <c r="X20" s="58"/>
      <c r="Y20" s="58"/>
      <c r="Z20" s="58"/>
      <c r="AA20" s="113">
        <v>19</v>
      </c>
      <c r="AB20" s="114" t="s">
        <v>320</v>
      </c>
      <c r="AC20" s="115">
        <v>3730333.41</v>
      </c>
      <c r="AD20" s="115">
        <v>4355.9833</v>
      </c>
      <c r="AE20" s="115">
        <v>854257.51</v>
      </c>
      <c r="AF20" s="115">
        <v>997.5332</v>
      </c>
      <c r="AG20" s="115">
        <v>5645448.040000001</v>
      </c>
      <c r="AH20" s="115">
        <v>6592.3001</v>
      </c>
      <c r="AI20" s="115">
        <v>11022102.9</v>
      </c>
      <c r="AJ20" s="115">
        <v>12870.7252</v>
      </c>
      <c r="AK20" s="164">
        <f>VLOOKUP(AA20,'FY 2005 TABLE 15'!$A$11:$M$148,6,FALSE)-AC20</f>
        <v>0</v>
      </c>
      <c r="AL20" s="164">
        <f>VLOOKUP(AA20,'FY 2005 TABLE 15'!$A$11:$M$148,7,FALSE)-AD20</f>
        <v>-1.0066910363093484E-05</v>
      </c>
      <c r="AM20" s="164">
        <f>VLOOKUP(AA20,'FY 2005 TABLE 15'!$A$11:$M$148,10,FALSE)-AE20</f>
        <v>0</v>
      </c>
      <c r="AN20" s="164">
        <f>VLOOKUP(AA20,'FY 2005 TABLE 15'!$A$11:$M$148,11,FALSE)-AF20</f>
        <v>4.105702032575209E-06</v>
      </c>
      <c r="AO20" s="164">
        <f>VLOOKUP(AA20,'FY 2005 TABLE 15'!$A$11:$M$148,4,FALSE)-AG20</f>
        <v>0</v>
      </c>
      <c r="AP20" s="164">
        <f>VLOOKUP(AA20,'FY 2005 TABLE 15'!$A$11:$M$148,5,FALSE)-AH20</f>
        <v>3.927041689166799E-06</v>
      </c>
      <c r="AQ20" s="164">
        <f>VLOOKUP(AA20,'FY 2005 TABLE 15'!$A$11:$M$148,12,FALSE)-AI20</f>
        <v>0</v>
      </c>
      <c r="AR20" s="165">
        <f>VLOOKUP(AA20,'FY 2005 TABLE 15'!$A$11:$M$148,13,FALSE)-AJ20</f>
        <v>-4.615294892573729E-05</v>
      </c>
    </row>
    <row r="21" spans="1:44" ht="6.75" customHeight="1">
      <c r="A21" s="60"/>
      <c r="B21" s="61"/>
      <c r="C21" s="61"/>
      <c r="D21" s="61"/>
      <c r="E21" s="61"/>
      <c r="F21" s="68"/>
      <c r="G21" s="61"/>
      <c r="H21" s="69"/>
      <c r="I21" s="155"/>
      <c r="J21" s="158"/>
      <c r="K21" s="58"/>
      <c r="L21" s="58"/>
      <c r="M21" s="58"/>
      <c r="N21" s="58"/>
      <c r="O21" s="58"/>
      <c r="P21" s="58"/>
      <c r="Q21" s="58"/>
      <c r="R21" s="58"/>
      <c r="S21" s="58"/>
      <c r="T21" s="58"/>
      <c r="U21" s="58"/>
      <c r="V21" s="58"/>
      <c r="W21" s="58"/>
      <c r="X21" s="58"/>
      <c r="Y21" s="58"/>
      <c r="Z21" s="58"/>
      <c r="AA21" s="113">
        <v>20</v>
      </c>
      <c r="AB21" s="114" t="s">
        <v>321</v>
      </c>
      <c r="AC21" s="115">
        <v>10754403.7</v>
      </c>
      <c r="AD21" s="115">
        <v>4921.1806</v>
      </c>
      <c r="AE21" s="115">
        <v>1930149.18</v>
      </c>
      <c r="AF21" s="115">
        <v>883.2301</v>
      </c>
      <c r="AG21" s="115">
        <v>3385258.2300000098</v>
      </c>
      <c r="AH21" s="115">
        <v>1549.0833</v>
      </c>
      <c r="AI21" s="115">
        <v>17751448.21000001</v>
      </c>
      <c r="AJ21" s="115">
        <v>8123.0058</v>
      </c>
      <c r="AK21" s="164">
        <f>VLOOKUP(AA21,'FY 2005 TABLE 15'!$A$11:$M$148,6,FALSE)-AC21</f>
        <v>0</v>
      </c>
      <c r="AL21" s="164">
        <f>VLOOKUP(AA21,'FY 2005 TABLE 15'!$A$11:$M$148,7,FALSE)-AD21</f>
        <v>4.548603646981064E-05</v>
      </c>
      <c r="AM21" s="164">
        <f>VLOOKUP(AA21,'FY 2005 TABLE 15'!$A$11:$M$148,10,FALSE)-AE21</f>
        <v>0</v>
      </c>
      <c r="AN21" s="164">
        <f>VLOOKUP(AA21,'FY 2005 TABLE 15'!$A$11:$M$148,11,FALSE)-AF21</f>
        <v>-2.490836618562753E-05</v>
      </c>
      <c r="AO21" s="164">
        <f>VLOOKUP(AA21,'FY 2005 TABLE 15'!$A$11:$M$148,4,FALSE)-AG21</f>
        <v>0</v>
      </c>
      <c r="AP21" s="164">
        <f>VLOOKUP(AA21,'FY 2005 TABLE 15'!$A$11:$M$148,5,FALSE)-AH21</f>
        <v>1.0072167469843407E-05</v>
      </c>
      <c r="AQ21" s="164">
        <f>VLOOKUP(AA21,'FY 2005 TABLE 15'!$A$11:$M$148,12,FALSE)-AI21</f>
        <v>0</v>
      </c>
      <c r="AR21" s="165">
        <f>VLOOKUP(AA21,'FY 2005 TABLE 15'!$A$11:$M$148,13,FALSE)-AJ21</f>
        <v>-2.5128466404567007E-05</v>
      </c>
    </row>
    <row r="22" spans="1:44" ht="15">
      <c r="A22" s="93" t="s">
        <v>4</v>
      </c>
      <c r="B22" s="61"/>
      <c r="C22" s="61"/>
      <c r="D22" s="61"/>
      <c r="E22" s="61"/>
      <c r="F22" s="6" t="e">
        <f>F14+F16-F18-F20</f>
        <v>#N/A</v>
      </c>
      <c r="G22" s="61"/>
      <c r="H22" s="69"/>
      <c r="I22" s="155"/>
      <c r="J22" s="82"/>
      <c r="K22" s="58"/>
      <c r="L22" s="58"/>
      <c r="M22" s="58"/>
      <c r="N22" s="58"/>
      <c r="O22" s="58"/>
      <c r="P22" s="58"/>
      <c r="Q22" s="58"/>
      <c r="R22" s="58"/>
      <c r="S22" s="58"/>
      <c r="T22" s="58"/>
      <c r="U22" s="58"/>
      <c r="V22" s="58"/>
      <c r="W22" s="58"/>
      <c r="X22" s="58"/>
      <c r="Y22" s="58"/>
      <c r="Z22" s="58"/>
      <c r="AA22" s="113">
        <v>21</v>
      </c>
      <c r="AB22" s="114" t="s">
        <v>322</v>
      </c>
      <c r="AC22" s="115">
        <v>177373310.61999997</v>
      </c>
      <c r="AD22" s="115">
        <v>3193.7489</v>
      </c>
      <c r="AE22" s="115">
        <v>21469914.270000003</v>
      </c>
      <c r="AF22" s="115">
        <v>386.5831</v>
      </c>
      <c r="AG22" s="115">
        <v>173639667.54999995</v>
      </c>
      <c r="AH22" s="115">
        <v>3126.5217</v>
      </c>
      <c r="AI22" s="115">
        <v>414701964.06999993</v>
      </c>
      <c r="AJ22" s="115">
        <v>7467.042</v>
      </c>
      <c r="AK22" s="164">
        <f>VLOOKUP(AA22,'FY 2005 TABLE 15'!$A$11:$M$148,6,FALSE)-AC22</f>
        <v>0</v>
      </c>
      <c r="AL22" s="164">
        <f>VLOOKUP(AA22,'FY 2005 TABLE 15'!$A$11:$M$148,7,FALSE)-AD22</f>
        <v>3.644221487775212E-05</v>
      </c>
      <c r="AM22" s="164">
        <f>VLOOKUP(AA22,'FY 2005 TABLE 15'!$A$11:$M$148,10,FALSE)-AE22</f>
        <v>0</v>
      </c>
      <c r="AN22" s="164">
        <f>VLOOKUP(AA22,'FY 2005 TABLE 15'!$A$11:$M$148,11,FALSE)-AF22</f>
        <v>-4.7422154125342786E-05</v>
      </c>
      <c r="AO22" s="164">
        <f>VLOOKUP(AA22,'FY 2005 TABLE 15'!$A$11:$M$148,4,FALSE)-AG22</f>
        <v>0</v>
      </c>
      <c r="AP22" s="164">
        <f>VLOOKUP(AA22,'FY 2005 TABLE 15'!$A$11:$M$148,5,FALSE)-AH22</f>
        <v>-6.1580749388667755E-06</v>
      </c>
      <c r="AQ22" s="164">
        <f>VLOOKUP(AA22,'FY 2005 TABLE 15'!$A$11:$M$148,12,FALSE)-AI22</f>
        <v>0</v>
      </c>
      <c r="AR22" s="165">
        <f>VLOOKUP(AA22,'FY 2005 TABLE 15'!$A$11:$M$148,13,FALSE)-AJ22</f>
        <v>-1.910956052597612E-05</v>
      </c>
    </row>
    <row r="23" spans="1:44" ht="6.75" customHeight="1">
      <c r="A23" s="60"/>
      <c r="B23" s="61"/>
      <c r="C23" s="61"/>
      <c r="D23" s="61"/>
      <c r="E23" s="68"/>
      <c r="F23" s="61"/>
      <c r="G23" s="61"/>
      <c r="H23" s="67"/>
      <c r="I23" s="155"/>
      <c r="J23" s="82"/>
      <c r="K23" s="58"/>
      <c r="L23" s="58"/>
      <c r="M23" s="58"/>
      <c r="N23" s="58"/>
      <c r="O23" s="58"/>
      <c r="P23" s="58"/>
      <c r="Q23" s="58"/>
      <c r="R23" s="58"/>
      <c r="S23" s="58"/>
      <c r="T23" s="58"/>
      <c r="U23" s="58"/>
      <c r="V23" s="58"/>
      <c r="W23" s="58"/>
      <c r="X23" s="58"/>
      <c r="Y23" s="58"/>
      <c r="Z23" s="58"/>
      <c r="AA23" s="113">
        <v>22</v>
      </c>
      <c r="AB23" s="114" t="s">
        <v>323</v>
      </c>
      <c r="AC23" s="115">
        <v>5193510.42</v>
      </c>
      <c r="AD23" s="115">
        <v>2441.7872</v>
      </c>
      <c r="AE23" s="115">
        <v>931204.31</v>
      </c>
      <c r="AF23" s="115">
        <v>437.8162</v>
      </c>
      <c r="AG23" s="115">
        <v>9997868.880000006</v>
      </c>
      <c r="AH23" s="115">
        <v>4700.6102</v>
      </c>
      <c r="AI23" s="115">
        <v>17820964.970000006</v>
      </c>
      <c r="AJ23" s="115">
        <v>8378.7266</v>
      </c>
      <c r="AK23" s="164">
        <f>VLOOKUP(AA23,'FY 2005 TABLE 15'!$A$11:$M$148,6,FALSE)-AC23</f>
        <v>0</v>
      </c>
      <c r="AL23" s="164">
        <f>VLOOKUP(AA23,'FY 2005 TABLE 15'!$A$11:$M$148,7,FALSE)-AD23</f>
        <v>-1.3773842965747463E-05</v>
      </c>
      <c r="AM23" s="164">
        <f>VLOOKUP(AA23,'FY 2005 TABLE 15'!$A$11:$M$148,10,FALSE)-AE23</f>
        <v>0</v>
      </c>
      <c r="AN23" s="164">
        <f>VLOOKUP(AA23,'FY 2005 TABLE 15'!$A$11:$M$148,11,FALSE)-AF23</f>
        <v>-4.71411846092451E-05</v>
      </c>
      <c r="AO23" s="164">
        <f>VLOOKUP(AA23,'FY 2005 TABLE 15'!$A$11:$M$148,4,FALSE)-AG23</f>
        <v>0</v>
      </c>
      <c r="AP23" s="164">
        <f>VLOOKUP(AA23,'FY 2005 TABLE 15'!$A$11:$M$148,5,FALSE)-AH23</f>
        <v>1.2841987881984096E-05</v>
      </c>
      <c r="AQ23" s="164">
        <f>VLOOKUP(AA23,'FY 2005 TABLE 15'!$A$11:$M$148,12,FALSE)-AI23</f>
        <v>0</v>
      </c>
      <c r="AR23" s="165">
        <f>VLOOKUP(AA23,'FY 2005 TABLE 15'!$A$11:$M$148,13,FALSE)-AJ23</f>
        <v>1.2515720300143585E-06</v>
      </c>
    </row>
    <row r="24" spans="1:44" ht="15.75">
      <c r="A24" s="103" t="s">
        <v>5</v>
      </c>
      <c r="B24" s="70"/>
      <c r="C24" s="61"/>
      <c r="D24" s="61"/>
      <c r="E24" s="68"/>
      <c r="F24" s="61"/>
      <c r="G24" s="61"/>
      <c r="H24" s="66" t="e">
        <f>(F22/$F$50)</f>
        <v>#N/A</v>
      </c>
      <c r="I24" s="155" t="e">
        <f>VLOOKUP($A$5,'FY 2005 TABLE 15'!A11:M148,7,FALSE)</f>
        <v>#N/A</v>
      </c>
      <c r="J24" s="82" t="e">
        <f>IF(H24=I24,"OK","???")</f>
        <v>#N/A</v>
      </c>
      <c r="K24" s="58"/>
      <c r="L24" s="58"/>
      <c r="M24" s="58"/>
      <c r="N24" s="58"/>
      <c r="O24" s="58"/>
      <c r="P24" s="58"/>
      <c r="Q24" s="58"/>
      <c r="R24" s="58"/>
      <c r="S24" s="58"/>
      <c r="T24" s="58"/>
      <c r="U24" s="58"/>
      <c r="V24" s="58"/>
      <c r="W24" s="58"/>
      <c r="X24" s="58"/>
      <c r="Y24" s="58"/>
      <c r="Z24" s="58"/>
      <c r="AA24" s="113">
        <v>23</v>
      </c>
      <c r="AB24" s="114" t="s">
        <v>324</v>
      </c>
      <c r="AC24" s="115">
        <v>2749165.46</v>
      </c>
      <c r="AD24" s="115">
        <v>4043.3066</v>
      </c>
      <c r="AE24" s="115">
        <v>512968.44</v>
      </c>
      <c r="AF24" s="115">
        <v>754.443</v>
      </c>
      <c r="AG24" s="115">
        <v>1853713.12</v>
      </c>
      <c r="AH24" s="115">
        <v>2726.3294</v>
      </c>
      <c r="AI24" s="115">
        <v>5792383.6000000015</v>
      </c>
      <c r="AJ24" s="115">
        <v>8519.0881</v>
      </c>
      <c r="AK24" s="164">
        <f>VLOOKUP(AA24,'FY 2005 TABLE 15'!$A$11:$M$148,6,FALSE)-AC24</f>
        <v>0</v>
      </c>
      <c r="AL24" s="164">
        <f>VLOOKUP(AA24,'FY 2005 TABLE 15'!$A$11:$M$148,7,FALSE)-AD24</f>
        <v>5.091701041237684E-06</v>
      </c>
      <c r="AM24" s="164">
        <f>VLOOKUP(AA24,'FY 2005 TABLE 15'!$A$11:$M$148,10,FALSE)-AE24</f>
        <v>0</v>
      </c>
      <c r="AN24" s="164">
        <f>VLOOKUP(AA24,'FY 2005 TABLE 15'!$A$11:$M$148,11,FALSE)-AF24</f>
        <v>1.619284341813909E-05</v>
      </c>
      <c r="AO24" s="164">
        <f>VLOOKUP(AA24,'FY 2005 TABLE 15'!$A$11:$M$148,4,FALSE)-AG24</f>
        <v>0</v>
      </c>
      <c r="AP24" s="164">
        <f>VLOOKUP(AA24,'FY 2005 TABLE 15'!$A$11:$M$148,5,FALSE)-AH24</f>
        <v>-4.2566144657030236E-05</v>
      </c>
      <c r="AQ24" s="164">
        <f>VLOOKUP(AA24,'FY 2005 TABLE 15'!$A$11:$M$148,12,FALSE)-AI24</f>
        <v>0</v>
      </c>
      <c r="AR24" s="165">
        <f>VLOOKUP(AA24,'FY 2005 TABLE 15'!$A$11:$M$148,13,FALSE)-AJ24</f>
        <v>4.142632496950682E-05</v>
      </c>
    </row>
    <row r="25" spans="1:44" ht="21.75" customHeight="1">
      <c r="A25" s="60"/>
      <c r="B25" s="61"/>
      <c r="C25" s="61"/>
      <c r="D25" s="61"/>
      <c r="E25" s="68"/>
      <c r="F25" s="61"/>
      <c r="G25" s="61"/>
      <c r="H25" s="65"/>
      <c r="I25" s="155"/>
      <c r="J25" s="82"/>
      <c r="K25" s="58"/>
      <c r="L25" s="58"/>
      <c r="M25" s="58"/>
      <c r="N25" s="58"/>
      <c r="O25" s="58"/>
      <c r="P25" s="58"/>
      <c r="Q25" s="58"/>
      <c r="R25" s="58"/>
      <c r="S25" s="58"/>
      <c r="T25" s="58"/>
      <c r="U25" s="58"/>
      <c r="V25" s="58"/>
      <c r="W25" s="58"/>
      <c r="X25" s="58"/>
      <c r="Y25" s="58"/>
      <c r="Z25" s="58"/>
      <c r="AA25" s="113">
        <v>24</v>
      </c>
      <c r="AB25" s="114" t="s">
        <v>325</v>
      </c>
      <c r="AC25" s="115">
        <v>20582318.740000002</v>
      </c>
      <c r="AD25" s="115">
        <v>3203.4737</v>
      </c>
      <c r="AE25" s="115">
        <v>3959930.34</v>
      </c>
      <c r="AF25" s="115">
        <v>616.3316</v>
      </c>
      <c r="AG25" s="115">
        <v>20566040.040000044</v>
      </c>
      <c r="AH25" s="115">
        <v>3200.9401</v>
      </c>
      <c r="AI25" s="115">
        <v>50236381.000000045</v>
      </c>
      <c r="AJ25" s="115">
        <v>7818.892</v>
      </c>
      <c r="AK25" s="164">
        <f>VLOOKUP(AA25,'FY 2005 TABLE 15'!$A$11:$M$148,6,FALSE)-AC25</f>
        <v>0</v>
      </c>
      <c r="AL25" s="164">
        <f>VLOOKUP(AA25,'FY 2005 TABLE 15'!$A$11:$M$148,7,FALSE)-AD25</f>
        <v>3.3852140404633246E-05</v>
      </c>
      <c r="AM25" s="164">
        <f>VLOOKUP(AA25,'FY 2005 TABLE 15'!$A$11:$M$148,10,FALSE)-AE25</f>
        <v>0</v>
      </c>
      <c r="AN25" s="164">
        <f>VLOOKUP(AA25,'FY 2005 TABLE 15'!$A$11:$M$148,11,FALSE)-AF25</f>
        <v>-2.9571984441645327E-05</v>
      </c>
      <c r="AO25" s="164">
        <f>VLOOKUP(AA25,'FY 2005 TABLE 15'!$A$11:$M$148,4,FALSE)-AG25</f>
        <v>0</v>
      </c>
      <c r="AP25" s="164">
        <f>VLOOKUP(AA25,'FY 2005 TABLE 15'!$A$11:$M$148,5,FALSE)-AH25</f>
        <v>-1.5953301499394E-05</v>
      </c>
      <c r="AQ25" s="164">
        <f>VLOOKUP(AA25,'FY 2005 TABLE 15'!$A$11:$M$148,12,FALSE)-AI25</f>
        <v>0</v>
      </c>
      <c r="AR25" s="165">
        <f>VLOOKUP(AA25,'FY 2005 TABLE 15'!$A$11:$M$148,13,FALSE)-AJ25</f>
        <v>-1.5564195564365946E-05</v>
      </c>
    </row>
    <row r="26" spans="1:44" ht="15">
      <c r="A26" s="172" t="s">
        <v>639</v>
      </c>
      <c r="B26" s="193"/>
      <c r="C26" s="193"/>
      <c r="D26" s="193"/>
      <c r="E26" s="98"/>
      <c r="F26" s="6" t="e">
        <f>VLOOKUP($A$5,'Source Data'!A2:P137,8,FALSE)</f>
        <v>#N/A</v>
      </c>
      <c r="G26" s="61"/>
      <c r="H26" s="65"/>
      <c r="I26" s="155"/>
      <c r="J26" s="82"/>
      <c r="K26" s="58"/>
      <c r="L26" s="58"/>
      <c r="M26" s="58"/>
      <c r="N26" s="58"/>
      <c r="O26" s="58"/>
      <c r="P26" s="58"/>
      <c r="Q26" s="58"/>
      <c r="R26" s="58"/>
      <c r="S26" s="58"/>
      <c r="T26" s="58"/>
      <c r="U26" s="58"/>
      <c r="V26" s="58"/>
      <c r="W26" s="58"/>
      <c r="X26" s="58"/>
      <c r="Y26" s="58"/>
      <c r="Z26" s="58"/>
      <c r="AA26" s="113">
        <v>25</v>
      </c>
      <c r="AB26" s="114" t="s">
        <v>326</v>
      </c>
      <c r="AC26" s="115">
        <v>6082277.15</v>
      </c>
      <c r="AD26" s="115">
        <v>4410.9312</v>
      </c>
      <c r="AE26" s="115">
        <v>2457190.85</v>
      </c>
      <c r="AF26" s="115">
        <v>1781.9806</v>
      </c>
      <c r="AG26" s="115">
        <v>3211753.170000009</v>
      </c>
      <c r="AH26" s="115">
        <v>2329.1971</v>
      </c>
      <c r="AI26" s="115">
        <v>13175691.17000001</v>
      </c>
      <c r="AJ26" s="115">
        <v>9555.1495</v>
      </c>
      <c r="AK26" s="164">
        <f>VLOOKUP(AA26,'FY 2005 TABLE 15'!$A$11:$M$148,6,FALSE)-AC26</f>
        <v>0</v>
      </c>
      <c r="AL26" s="164">
        <f>VLOOKUP(AA26,'FY 2005 TABLE 15'!$A$11:$M$148,7,FALSE)-AD26</f>
        <v>6.532695806527045E-06</v>
      </c>
      <c r="AM26" s="164">
        <f>VLOOKUP(AA26,'FY 2005 TABLE 15'!$A$11:$M$148,10,FALSE)-AE26</f>
        <v>0</v>
      </c>
      <c r="AN26" s="164">
        <f>VLOOKUP(AA26,'FY 2005 TABLE 15'!$A$11:$M$148,11,FALSE)-AF26</f>
        <v>-1.3884880218029139E-05</v>
      </c>
      <c r="AO26" s="164">
        <f>VLOOKUP(AA26,'FY 2005 TABLE 15'!$A$11:$M$148,4,FALSE)-AG26</f>
        <v>0</v>
      </c>
      <c r="AP26" s="164">
        <f>VLOOKUP(AA26,'FY 2005 TABLE 15'!$A$11:$M$148,5,FALSE)-AH26</f>
        <v>-2.29238366955542E-06</v>
      </c>
      <c r="AQ26" s="164">
        <f>VLOOKUP(AA26,'FY 2005 TABLE 15'!$A$11:$M$148,12,FALSE)-AI26</f>
        <v>0</v>
      </c>
      <c r="AR26" s="165">
        <f>VLOOKUP(AA26,'FY 2005 TABLE 15'!$A$11:$M$148,13,FALSE)-AJ26</f>
        <v>-1.961331145139411E-05</v>
      </c>
    </row>
    <row r="27" spans="1:44" ht="6.75" customHeight="1">
      <c r="A27" s="60"/>
      <c r="B27" s="61"/>
      <c r="C27" s="61"/>
      <c r="D27" s="61"/>
      <c r="E27" s="68"/>
      <c r="F27" s="61"/>
      <c r="G27" s="61"/>
      <c r="H27" s="65"/>
      <c r="I27" s="155"/>
      <c r="J27" s="82"/>
      <c r="K27" s="58"/>
      <c r="L27" s="58"/>
      <c r="M27" s="58"/>
      <c r="N27" s="58"/>
      <c r="O27" s="58"/>
      <c r="P27" s="58"/>
      <c r="Q27" s="58"/>
      <c r="R27" s="58"/>
      <c r="S27" s="58"/>
      <c r="T27" s="58"/>
      <c r="U27" s="58"/>
      <c r="V27" s="58"/>
      <c r="W27" s="58"/>
      <c r="X27" s="58"/>
      <c r="Y27" s="58"/>
      <c r="Z27" s="58"/>
      <c r="AA27" s="113">
        <v>26</v>
      </c>
      <c r="AB27" s="114" t="s">
        <v>327</v>
      </c>
      <c r="AC27" s="115">
        <v>11604056.3</v>
      </c>
      <c r="AD27" s="115">
        <v>4602.9942</v>
      </c>
      <c r="AE27" s="115">
        <v>2610596.72</v>
      </c>
      <c r="AF27" s="115">
        <v>1035.5484</v>
      </c>
      <c r="AG27" s="115">
        <v>5366929.699999984</v>
      </c>
      <c r="AH27" s="115">
        <v>2128.9061</v>
      </c>
      <c r="AI27" s="115">
        <v>21652782.839999985</v>
      </c>
      <c r="AJ27" s="115">
        <v>8589.034</v>
      </c>
      <c r="AK27" s="164">
        <f>VLOOKUP(AA27,'FY 2005 TABLE 15'!$A$11:$M$148,6,FALSE)-AC27</f>
        <v>0</v>
      </c>
      <c r="AL27" s="164">
        <f>VLOOKUP(AA27,'FY 2005 TABLE 15'!$A$11:$M$148,7,FALSE)-AD27</f>
        <v>-7.265428394021001E-06</v>
      </c>
      <c r="AM27" s="164">
        <f>VLOOKUP(AA27,'FY 2005 TABLE 15'!$A$11:$M$148,10,FALSE)-AE27</f>
        <v>0</v>
      </c>
      <c r="AN27" s="164">
        <f>VLOOKUP(AA27,'FY 2005 TABLE 15'!$A$11:$M$148,11,FALSE)-AF27</f>
        <v>-3.3888408324855845E-05</v>
      </c>
      <c r="AO27" s="164">
        <f>VLOOKUP(AA27,'FY 2005 TABLE 15'!$A$11:$M$148,4,FALSE)-AG27</f>
        <v>0</v>
      </c>
      <c r="AP27" s="164">
        <f>VLOOKUP(AA27,'FY 2005 TABLE 15'!$A$11:$M$148,5,FALSE)-AH27</f>
        <v>8.720235200598836E-09</v>
      </c>
      <c r="AQ27" s="164">
        <f>VLOOKUP(AA27,'FY 2005 TABLE 15'!$A$11:$M$148,12,FALSE)-AI27</f>
        <v>0</v>
      </c>
      <c r="AR27" s="165">
        <f>VLOOKUP(AA27,'FY 2005 TABLE 15'!$A$11:$M$148,13,FALSE)-AJ27</f>
        <v>-3.701735658978578E-05</v>
      </c>
    </row>
    <row r="28" spans="1:44" ht="15.75">
      <c r="A28" s="103" t="s">
        <v>6</v>
      </c>
      <c r="B28" s="70"/>
      <c r="C28" s="61"/>
      <c r="D28" s="61"/>
      <c r="E28" s="68"/>
      <c r="F28" s="61"/>
      <c r="G28" s="61"/>
      <c r="H28" s="66" t="e">
        <f>(F26/$F$50)</f>
        <v>#N/A</v>
      </c>
      <c r="I28" s="155" t="e">
        <f>VLOOKUP($A$5,'FY 2005 TABLE 15'!A11:M148,9,FALSE)</f>
        <v>#N/A</v>
      </c>
      <c r="J28" s="82" t="e">
        <f>IF(H28=I28,"OK","???")</f>
        <v>#N/A</v>
      </c>
      <c r="K28" s="58"/>
      <c r="L28" s="58"/>
      <c r="M28" s="58"/>
      <c r="N28" s="58"/>
      <c r="O28" s="58"/>
      <c r="P28" s="58"/>
      <c r="Q28" s="58"/>
      <c r="R28" s="58"/>
      <c r="S28" s="58"/>
      <c r="T28" s="58"/>
      <c r="U28" s="58"/>
      <c r="V28" s="58"/>
      <c r="W28" s="58"/>
      <c r="X28" s="58"/>
      <c r="Y28" s="58"/>
      <c r="Z28" s="58"/>
      <c r="AA28" s="113">
        <v>27</v>
      </c>
      <c r="AB28" s="114" t="s">
        <v>328</v>
      </c>
      <c r="AC28" s="115">
        <v>17713386.14</v>
      </c>
      <c r="AD28" s="115">
        <v>3946.0064</v>
      </c>
      <c r="AE28" s="115">
        <v>2482538.55</v>
      </c>
      <c r="AF28" s="115">
        <v>553.0345</v>
      </c>
      <c r="AG28" s="115">
        <v>13574911.159999974</v>
      </c>
      <c r="AH28" s="115">
        <v>3024.0794</v>
      </c>
      <c r="AI28" s="115">
        <v>37093999.62999997</v>
      </c>
      <c r="AJ28" s="115">
        <v>8263.4207</v>
      </c>
      <c r="AK28" s="164">
        <f>VLOOKUP(AA28,'FY 2005 TABLE 15'!$A$11:$M$148,6,FALSE)-AC28</f>
        <v>0</v>
      </c>
      <c r="AL28" s="164">
        <f>VLOOKUP(AA28,'FY 2005 TABLE 15'!$A$11:$M$148,7,FALSE)-AD28</f>
        <v>3.804550760833081E-05</v>
      </c>
      <c r="AM28" s="164">
        <f>VLOOKUP(AA28,'FY 2005 TABLE 15'!$A$11:$M$148,10,FALSE)-AE28</f>
        <v>0</v>
      </c>
      <c r="AN28" s="164">
        <f>VLOOKUP(AA28,'FY 2005 TABLE 15'!$A$11:$M$148,11,FALSE)-AF28</f>
        <v>-3.083801516368112E-05</v>
      </c>
      <c r="AO28" s="164">
        <f>VLOOKUP(AA28,'FY 2005 TABLE 15'!$A$11:$M$148,4,FALSE)-AG28</f>
        <v>0</v>
      </c>
      <c r="AP28" s="164">
        <f>VLOOKUP(AA28,'FY 2005 TABLE 15'!$A$11:$M$148,5,FALSE)-AH28</f>
        <v>3.9689542518317467E-05</v>
      </c>
      <c r="AQ28" s="164">
        <f>VLOOKUP(AA28,'FY 2005 TABLE 15'!$A$11:$M$148,12,FALSE)-AI28</f>
        <v>0</v>
      </c>
      <c r="AR28" s="165">
        <f>VLOOKUP(AA28,'FY 2005 TABLE 15'!$A$11:$M$148,13,FALSE)-AJ28</f>
        <v>-1.939389403560199E-05</v>
      </c>
    </row>
    <row r="29" spans="1:44" ht="21.75" customHeight="1">
      <c r="A29" s="60"/>
      <c r="B29" s="61"/>
      <c r="C29" s="61"/>
      <c r="D29" s="61"/>
      <c r="E29" s="68"/>
      <c r="F29" s="61"/>
      <c r="G29" s="61"/>
      <c r="H29" s="65"/>
      <c r="I29" s="155"/>
      <c r="J29" s="82"/>
      <c r="K29" s="58"/>
      <c r="L29" s="58"/>
      <c r="M29" s="58"/>
      <c r="N29" s="58"/>
      <c r="O29" s="58"/>
      <c r="P29" s="58"/>
      <c r="Q29" s="58"/>
      <c r="R29" s="58"/>
      <c r="S29" s="58"/>
      <c r="T29" s="58"/>
      <c r="U29" s="58"/>
      <c r="V29" s="58"/>
      <c r="W29" s="58"/>
      <c r="X29" s="58"/>
      <c r="Y29" s="58"/>
      <c r="Z29" s="58"/>
      <c r="AA29" s="113">
        <v>28</v>
      </c>
      <c r="AB29" s="114" t="s">
        <v>329</v>
      </c>
      <c r="AC29" s="115">
        <v>5521908.46</v>
      </c>
      <c r="AD29" s="115">
        <v>3572.2011</v>
      </c>
      <c r="AE29" s="115">
        <v>1037324.07</v>
      </c>
      <c r="AF29" s="115">
        <v>671.0597</v>
      </c>
      <c r="AG29" s="115">
        <v>5305588.17</v>
      </c>
      <c r="AH29" s="115">
        <v>3432.2604</v>
      </c>
      <c r="AI29" s="115">
        <v>13306657.38</v>
      </c>
      <c r="AJ29" s="115">
        <v>8608.2659</v>
      </c>
      <c r="AK29" s="164">
        <f>VLOOKUP(AA29,'FY 2005 TABLE 15'!$A$11:$M$148,6,FALSE)-AC29</f>
        <v>0</v>
      </c>
      <c r="AL29" s="164">
        <f>VLOOKUP(AA29,'FY 2005 TABLE 15'!$A$11:$M$148,7,FALSE)-AD29</f>
        <v>-2.4582732294220477E-07</v>
      </c>
      <c r="AM29" s="164">
        <f>VLOOKUP(AA29,'FY 2005 TABLE 15'!$A$11:$M$148,10,FALSE)-AE29</f>
        <v>0</v>
      </c>
      <c r="AN29" s="164">
        <f>VLOOKUP(AA29,'FY 2005 TABLE 15'!$A$11:$M$148,11,FALSE)-AF29</f>
        <v>-9.22499680200417E-06</v>
      </c>
      <c r="AO29" s="164">
        <f>VLOOKUP(AA29,'FY 2005 TABLE 15'!$A$11:$M$148,4,FALSE)-AG29</f>
        <v>0</v>
      </c>
      <c r="AP29" s="164">
        <f>VLOOKUP(AA29,'FY 2005 TABLE 15'!$A$11:$M$148,5,FALSE)-AH29</f>
        <v>2.8257213671167847E-05</v>
      </c>
      <c r="AQ29" s="164">
        <f>VLOOKUP(AA29,'FY 2005 TABLE 15'!$A$11:$M$148,12,FALSE)-AI29</f>
        <v>0</v>
      </c>
      <c r="AR29" s="165">
        <f>VLOOKUP(AA29,'FY 2005 TABLE 15'!$A$11:$M$148,13,FALSE)-AJ29</f>
        <v>-3.1194203984341584E-05</v>
      </c>
    </row>
    <row r="30" spans="1:44" ht="15">
      <c r="A30" s="172" t="s">
        <v>445</v>
      </c>
      <c r="B30" s="193"/>
      <c r="C30" s="193"/>
      <c r="D30" s="61"/>
      <c r="E30" s="68"/>
      <c r="F30" s="32" t="e">
        <f>VLOOKUP($A$5,'Source Data'!A2:P137,9,FALSE)</f>
        <v>#N/A</v>
      </c>
      <c r="G30" s="61"/>
      <c r="H30" s="65"/>
      <c r="I30" s="155"/>
      <c r="J30" s="82"/>
      <c r="K30" s="58"/>
      <c r="L30" s="58"/>
      <c r="M30" s="58"/>
      <c r="N30" s="58"/>
      <c r="O30" s="58"/>
      <c r="P30" s="58"/>
      <c r="Q30" s="58"/>
      <c r="R30" s="58"/>
      <c r="S30" s="58"/>
      <c r="T30" s="58"/>
      <c r="U30" s="58"/>
      <c r="V30" s="58"/>
      <c r="W30" s="58"/>
      <c r="X30" s="58"/>
      <c r="Y30" s="58"/>
      <c r="Z30" s="58"/>
      <c r="AA30" s="113">
        <v>29</v>
      </c>
      <c r="AB30" s="114" t="s">
        <v>330</v>
      </c>
      <c r="AC30" s="115">
        <v>230758183.99000004</v>
      </c>
      <c r="AD30" s="115">
        <v>1451.8844</v>
      </c>
      <c r="AE30" s="115">
        <v>77905012.92999999</v>
      </c>
      <c r="AF30" s="115">
        <v>490.1628</v>
      </c>
      <c r="AG30" s="115">
        <v>1337688937.429999</v>
      </c>
      <c r="AH30" s="115">
        <v>8416.4717</v>
      </c>
      <c r="AI30" s="115">
        <v>1787940289.9099991</v>
      </c>
      <c r="AJ30" s="115">
        <v>11249.3634</v>
      </c>
      <c r="AK30" s="164">
        <f>VLOOKUP(AA30,'FY 2005 TABLE 15'!$A$11:$M$148,6,FALSE)-AC30</f>
        <v>0</v>
      </c>
      <c r="AL30" s="164">
        <f>VLOOKUP(AA30,'FY 2005 TABLE 15'!$A$11:$M$148,7,FALSE)-AD30</f>
        <v>2.5604557549741003E-05</v>
      </c>
      <c r="AM30" s="164">
        <f>VLOOKUP(AA30,'FY 2005 TABLE 15'!$A$11:$M$148,10,FALSE)-AE30</f>
        <v>0</v>
      </c>
      <c r="AN30" s="164">
        <f>VLOOKUP(AA30,'FY 2005 TABLE 15'!$A$11:$M$148,11,FALSE)-AF30</f>
        <v>-1.1431295263264474E-05</v>
      </c>
      <c r="AO30" s="164">
        <f>VLOOKUP(AA30,'FY 2005 TABLE 15'!$A$11:$M$148,4,FALSE)-AG30</f>
        <v>0</v>
      </c>
      <c r="AP30" s="164">
        <f>VLOOKUP(AA30,'FY 2005 TABLE 15'!$A$11:$M$148,5,FALSE)-AH30</f>
        <v>4.100784826732706E-05</v>
      </c>
      <c r="AQ30" s="164">
        <f>VLOOKUP(AA30,'FY 2005 TABLE 15'!$A$11:$M$148,12,FALSE)-AI30</f>
        <v>0</v>
      </c>
      <c r="AR30" s="165">
        <f>VLOOKUP(AA30,'FY 2005 TABLE 15'!$A$11:$M$148,13,FALSE)-AJ30</f>
        <v>-3.638591442722827E-05</v>
      </c>
    </row>
    <row r="31" spans="1:44" ht="6.75" customHeight="1">
      <c r="A31" s="71"/>
      <c r="B31" s="72"/>
      <c r="C31" s="72"/>
      <c r="D31" s="72"/>
      <c r="E31" s="72"/>
      <c r="F31" s="68"/>
      <c r="G31" s="72"/>
      <c r="H31" s="73"/>
      <c r="I31" s="155"/>
      <c r="J31" s="82"/>
      <c r="K31" s="58"/>
      <c r="L31" s="58"/>
      <c r="M31" s="58"/>
      <c r="N31" s="58"/>
      <c r="O31" s="58"/>
      <c r="P31" s="58"/>
      <c r="Q31" s="58"/>
      <c r="R31" s="58"/>
      <c r="S31" s="58"/>
      <c r="T31" s="58"/>
      <c r="U31" s="58"/>
      <c r="V31" s="58"/>
      <c r="W31" s="58"/>
      <c r="X31" s="58"/>
      <c r="Y31" s="58"/>
      <c r="Z31" s="58"/>
      <c r="AA31" s="113">
        <v>30</v>
      </c>
      <c r="AB31" s="114" t="s">
        <v>331</v>
      </c>
      <c r="AC31" s="115">
        <v>20524152.830000002</v>
      </c>
      <c r="AD31" s="115">
        <v>1920.1945</v>
      </c>
      <c r="AE31" s="115">
        <v>4432170.45</v>
      </c>
      <c r="AF31" s="115">
        <v>414.6641</v>
      </c>
      <c r="AG31" s="115">
        <v>64851740.73999995</v>
      </c>
      <c r="AH31" s="115">
        <v>6067.386</v>
      </c>
      <c r="AI31" s="115">
        <v>98845302.99999996</v>
      </c>
      <c r="AJ31" s="115">
        <v>9247.7488</v>
      </c>
      <c r="AK31" s="164">
        <f>VLOOKUP(AA31,'FY 2005 TABLE 15'!$A$11:$M$148,6,FALSE)-AC31</f>
        <v>0</v>
      </c>
      <c r="AL31" s="164">
        <f>VLOOKUP(AA31,'FY 2005 TABLE 15'!$A$11:$M$148,7,FALSE)-AD31</f>
        <v>2.817867311932787E-05</v>
      </c>
      <c r="AM31" s="164">
        <f>VLOOKUP(AA31,'FY 2005 TABLE 15'!$A$11:$M$148,10,FALSE)-AE31</f>
        <v>0</v>
      </c>
      <c r="AN31" s="164">
        <f>VLOOKUP(AA31,'FY 2005 TABLE 15'!$A$11:$M$148,11,FALSE)-AF31</f>
        <v>4.118601339087036E-06</v>
      </c>
      <c r="AO31" s="164">
        <f>VLOOKUP(AA31,'FY 2005 TABLE 15'!$A$11:$M$148,4,FALSE)-AG31</f>
        <v>0</v>
      </c>
      <c r="AP31" s="164">
        <f>VLOOKUP(AA31,'FY 2005 TABLE 15'!$A$11:$M$148,5,FALSE)-AH31</f>
        <v>8.244308446592186E-06</v>
      </c>
      <c r="AQ31" s="164">
        <f>VLOOKUP(AA31,'FY 2005 TABLE 15'!$A$11:$M$148,12,FALSE)-AI31</f>
        <v>0</v>
      </c>
      <c r="AR31" s="165">
        <f>VLOOKUP(AA31,'FY 2005 TABLE 15'!$A$11:$M$148,13,FALSE)-AJ31</f>
        <v>1.2283760952414013E-05</v>
      </c>
    </row>
    <row r="32" spans="1:44" ht="15">
      <c r="A32" s="101" t="s">
        <v>7</v>
      </c>
      <c r="B32" s="61"/>
      <c r="C32" s="72"/>
      <c r="D32" s="72"/>
      <c r="E32" s="72"/>
      <c r="F32" s="34" t="e">
        <f>VLOOKUP($A$5,'Source Data'!A2:P137,10,FALSE)</f>
        <v>#N/A</v>
      </c>
      <c r="G32" s="72"/>
      <c r="H32" s="73"/>
      <c r="I32" s="155"/>
      <c r="J32" s="82"/>
      <c r="K32" s="58"/>
      <c r="L32" s="58"/>
      <c r="M32" s="58"/>
      <c r="N32" s="58"/>
      <c r="O32" s="58"/>
      <c r="P32" s="58"/>
      <c r="Q32" s="58"/>
      <c r="R32" s="58"/>
      <c r="S32" s="58"/>
      <c r="T32" s="58"/>
      <c r="U32" s="58"/>
      <c r="V32" s="58"/>
      <c r="W32" s="58"/>
      <c r="X32" s="58"/>
      <c r="Y32" s="58"/>
      <c r="Z32" s="58"/>
      <c r="AA32" s="113">
        <v>31</v>
      </c>
      <c r="AB32" s="114" t="s">
        <v>332</v>
      </c>
      <c r="AC32" s="115">
        <v>8156700.979999999</v>
      </c>
      <c r="AD32" s="115">
        <v>3919.6818</v>
      </c>
      <c r="AE32" s="115">
        <v>1369154.18</v>
      </c>
      <c r="AF32" s="115">
        <v>657.9435</v>
      </c>
      <c r="AG32" s="115">
        <v>5315223.470000006</v>
      </c>
      <c r="AH32" s="115">
        <v>2554.217</v>
      </c>
      <c r="AI32" s="115">
        <v>16531033.790000005</v>
      </c>
      <c r="AJ32" s="115">
        <v>7943.946</v>
      </c>
      <c r="AK32" s="164">
        <f>VLOOKUP(AA32,'FY 2005 TABLE 15'!$A$11:$M$148,6,FALSE)-AC32</f>
        <v>0</v>
      </c>
      <c r="AL32" s="164">
        <f>VLOOKUP(AA32,'FY 2005 TABLE 15'!$A$11:$M$148,7,FALSE)-AD32</f>
        <v>-2.8125480639573652E-05</v>
      </c>
      <c r="AM32" s="164">
        <f>VLOOKUP(AA32,'FY 2005 TABLE 15'!$A$11:$M$148,10,FALSE)-AE32</f>
        <v>0</v>
      </c>
      <c r="AN32" s="164">
        <f>VLOOKUP(AA32,'FY 2005 TABLE 15'!$A$11:$M$148,11,FALSE)-AF32</f>
        <v>3.567584190022899E-05</v>
      </c>
      <c r="AO32" s="164">
        <f>VLOOKUP(AA32,'FY 2005 TABLE 15'!$A$11:$M$148,4,FALSE)-AG32</f>
        <v>0</v>
      </c>
      <c r="AP32" s="164">
        <f>VLOOKUP(AA32,'FY 2005 TABLE 15'!$A$11:$M$148,5,FALSE)-AH32</f>
        <v>2.9640168577316217E-05</v>
      </c>
      <c r="AQ32" s="164">
        <f>VLOOKUP(AA32,'FY 2005 TABLE 15'!$A$11:$M$148,12,FALSE)-AI32</f>
        <v>0</v>
      </c>
      <c r="AR32" s="165">
        <f>VLOOKUP(AA32,'FY 2005 TABLE 15'!$A$11:$M$148,13,FALSE)-AJ32</f>
        <v>-3.7559585507551674E-05</v>
      </c>
    </row>
    <row r="33" spans="1:44" ht="6.75" customHeight="1">
      <c r="A33" s="101"/>
      <c r="B33" s="61"/>
      <c r="C33" s="72"/>
      <c r="D33" s="72"/>
      <c r="E33" s="72"/>
      <c r="F33" s="68"/>
      <c r="G33" s="72"/>
      <c r="H33" s="73"/>
      <c r="I33" s="155"/>
      <c r="J33" s="82"/>
      <c r="K33" s="58"/>
      <c r="L33" s="58"/>
      <c r="M33" s="58"/>
      <c r="N33" s="58"/>
      <c r="O33" s="58"/>
      <c r="P33" s="58"/>
      <c r="Q33" s="58"/>
      <c r="R33" s="58"/>
      <c r="S33" s="58"/>
      <c r="T33" s="58"/>
      <c r="U33" s="58"/>
      <c r="V33" s="58"/>
      <c r="W33" s="58"/>
      <c r="X33" s="58"/>
      <c r="Y33" s="58"/>
      <c r="Z33" s="58"/>
      <c r="AA33" s="113">
        <v>32</v>
      </c>
      <c r="AB33" s="114" t="s">
        <v>333</v>
      </c>
      <c r="AC33" s="115">
        <v>12443376.039999997</v>
      </c>
      <c r="AD33" s="115">
        <v>3468.0535</v>
      </c>
      <c r="AE33" s="115">
        <v>1172821.64</v>
      </c>
      <c r="AF33" s="115">
        <v>326.8734</v>
      </c>
      <c r="AG33" s="115">
        <v>11340510.860000005</v>
      </c>
      <c r="AH33" s="115">
        <v>3160.6775</v>
      </c>
      <c r="AI33" s="115">
        <v>27318348.060000002</v>
      </c>
      <c r="AJ33" s="115">
        <v>7613.8094</v>
      </c>
      <c r="AK33" s="164">
        <f>VLOOKUP(AA33,'FY 2005 TABLE 15'!$A$11:$M$148,6,FALSE)-AC33</f>
        <v>0</v>
      </c>
      <c r="AL33" s="164">
        <f>VLOOKUP(AA33,'FY 2005 TABLE 15'!$A$11:$M$148,7,FALSE)-AD33</f>
        <v>2.285395703438553E-05</v>
      </c>
      <c r="AM33" s="164">
        <f>VLOOKUP(AA33,'FY 2005 TABLE 15'!$A$11:$M$148,10,FALSE)-AE33</f>
        <v>0</v>
      </c>
      <c r="AN33" s="164">
        <f>VLOOKUP(AA33,'FY 2005 TABLE 15'!$A$11:$M$148,11,FALSE)-AF33</f>
        <v>-3.3221850628706306E-05</v>
      </c>
      <c r="AO33" s="164">
        <f>VLOOKUP(AA33,'FY 2005 TABLE 15'!$A$11:$M$148,4,FALSE)-AG33</f>
        <v>0</v>
      </c>
      <c r="AP33" s="164">
        <f>VLOOKUP(AA33,'FY 2005 TABLE 15'!$A$11:$M$148,5,FALSE)-AH33</f>
        <v>-2.7870664780493826E-06</v>
      </c>
      <c r="AQ33" s="164">
        <f>VLOOKUP(AA33,'FY 2005 TABLE 15'!$A$11:$M$148,12,FALSE)-AI33</f>
        <v>0</v>
      </c>
      <c r="AR33" s="165">
        <f>VLOOKUP(AA33,'FY 2005 TABLE 15'!$A$11:$M$148,13,FALSE)-AJ33</f>
        <v>-1.872909615485696E-05</v>
      </c>
    </row>
    <row r="34" spans="1:44" ht="15">
      <c r="A34" s="101" t="s">
        <v>8</v>
      </c>
      <c r="B34" s="61"/>
      <c r="C34" s="72"/>
      <c r="D34" s="72"/>
      <c r="E34" s="72"/>
      <c r="F34" s="32" t="e">
        <f>VLOOKUP($A$5,'Source Data'!A2:P137,11,FALSE)</f>
        <v>#N/A</v>
      </c>
      <c r="G34" s="72"/>
      <c r="H34" s="73"/>
      <c r="I34" s="155"/>
      <c r="J34" s="82"/>
      <c r="K34" s="58"/>
      <c r="L34" s="58"/>
      <c r="M34" s="58"/>
      <c r="N34" s="58"/>
      <c r="O34" s="58"/>
      <c r="P34" s="58"/>
      <c r="Q34" s="58"/>
      <c r="R34" s="58"/>
      <c r="S34" s="58"/>
      <c r="T34" s="58"/>
      <c r="U34" s="58"/>
      <c r="V34" s="58"/>
      <c r="W34" s="58"/>
      <c r="X34" s="58"/>
      <c r="Y34" s="58"/>
      <c r="Z34" s="58"/>
      <c r="AA34" s="113">
        <v>33</v>
      </c>
      <c r="AB34" s="114" t="s">
        <v>334</v>
      </c>
      <c r="AC34" s="115">
        <v>25750187.2</v>
      </c>
      <c r="AD34" s="115">
        <v>3600.3472</v>
      </c>
      <c r="AE34" s="115">
        <v>5681076.330000002</v>
      </c>
      <c r="AF34" s="115">
        <v>794.3184</v>
      </c>
      <c r="AG34" s="115">
        <v>21654800.389999967</v>
      </c>
      <c r="AH34" s="115">
        <v>3027.7372</v>
      </c>
      <c r="AI34" s="115">
        <v>59026554.25999997</v>
      </c>
      <c r="AJ34" s="115">
        <v>8252.992</v>
      </c>
      <c r="AK34" s="164">
        <f>VLOOKUP(AA34,'FY 2005 TABLE 15'!$A$11:$M$148,6,FALSE)-AC34</f>
        <v>0</v>
      </c>
      <c r="AL34" s="164">
        <f>VLOOKUP(AA34,'FY 2005 TABLE 15'!$A$11:$M$148,7,FALSE)-AD34</f>
        <v>-3.216939603589708E-06</v>
      </c>
      <c r="AM34" s="164">
        <f>VLOOKUP(AA34,'FY 2005 TABLE 15'!$A$11:$M$148,10,FALSE)-AE34</f>
        <v>0</v>
      </c>
      <c r="AN34" s="164">
        <f>VLOOKUP(AA34,'FY 2005 TABLE 15'!$A$11:$M$148,11,FALSE)-AF34</f>
        <v>-9.979670153370535E-06</v>
      </c>
      <c r="AO34" s="164">
        <f>VLOOKUP(AA34,'FY 2005 TABLE 15'!$A$11:$M$148,4,FALSE)-AG34</f>
        <v>-364217.14000000805</v>
      </c>
      <c r="AP34" s="164">
        <f>VLOOKUP(AA34,'FY 2005 TABLE 15'!$A$11:$M$148,5,FALSE)-AH34</f>
        <v>-50.92421116030209</v>
      </c>
      <c r="AQ34" s="164">
        <f>VLOOKUP(AA34,'FY 2005 TABLE 15'!$A$11:$M$148,12,FALSE)-AI34</f>
        <v>-364217.1400000006</v>
      </c>
      <c r="AR34" s="165">
        <f>VLOOKUP(AA34,'FY 2005 TABLE 15'!$A$11:$M$148,13,FALSE)-AJ34</f>
        <v>-50.92421049924087</v>
      </c>
    </row>
    <row r="35" spans="1:44" ht="6.75" customHeight="1">
      <c r="A35" s="101"/>
      <c r="B35" s="61"/>
      <c r="C35" s="72"/>
      <c r="D35" s="72"/>
      <c r="E35" s="72"/>
      <c r="F35" s="68"/>
      <c r="G35" s="72"/>
      <c r="H35" s="73"/>
      <c r="I35" s="155"/>
      <c r="J35" s="82"/>
      <c r="K35" s="58"/>
      <c r="L35" s="58"/>
      <c r="M35" s="58"/>
      <c r="N35" s="58"/>
      <c r="O35" s="58"/>
      <c r="P35" s="58"/>
      <c r="Q35" s="58"/>
      <c r="R35" s="58"/>
      <c r="S35" s="58"/>
      <c r="T35" s="58"/>
      <c r="U35" s="58"/>
      <c r="V35" s="58"/>
      <c r="W35" s="58"/>
      <c r="X35" s="58"/>
      <c r="Y35" s="58"/>
      <c r="Z35" s="58"/>
      <c r="AA35" s="113">
        <v>34</v>
      </c>
      <c r="AB35" s="114" t="s">
        <v>335</v>
      </c>
      <c r="AC35" s="115">
        <v>39819036.36</v>
      </c>
      <c r="AD35" s="115">
        <v>3398.0854</v>
      </c>
      <c r="AE35" s="115">
        <v>4691224.72</v>
      </c>
      <c r="AF35" s="115">
        <v>400.3407</v>
      </c>
      <c r="AG35" s="115">
        <v>47437104.45999994</v>
      </c>
      <c r="AH35" s="115">
        <v>4048.1977</v>
      </c>
      <c r="AI35" s="115">
        <v>100775023.13999994</v>
      </c>
      <c r="AJ35" s="115">
        <v>8599.9603</v>
      </c>
      <c r="AK35" s="164">
        <f>VLOOKUP(AA35,'FY 2005 TABLE 15'!$A$11:$M$148,6,FALSE)-AC35</f>
        <v>0</v>
      </c>
      <c r="AL35" s="164">
        <f>VLOOKUP(AA35,'FY 2005 TABLE 15'!$A$11:$M$148,7,FALSE)-AD35</f>
        <v>-1.741172627589549E-05</v>
      </c>
      <c r="AM35" s="164">
        <f>VLOOKUP(AA35,'FY 2005 TABLE 15'!$A$11:$M$148,10,FALSE)-AE35</f>
        <v>0</v>
      </c>
      <c r="AN35" s="164">
        <f>VLOOKUP(AA35,'FY 2005 TABLE 15'!$A$11:$M$148,11,FALSE)-AF35</f>
        <v>3.1587427258727985E-05</v>
      </c>
      <c r="AO35" s="164">
        <f>VLOOKUP(AA35,'FY 2005 TABLE 15'!$A$11:$M$148,4,FALSE)-AG35</f>
        <v>0</v>
      </c>
      <c r="AP35" s="164">
        <f>VLOOKUP(AA35,'FY 2005 TABLE 15'!$A$11:$M$148,5,FALSE)-AH35</f>
        <v>-3.7903864722466096E-06</v>
      </c>
      <c r="AQ35" s="164">
        <f>VLOOKUP(AA35,'FY 2005 TABLE 15'!$A$11:$M$148,12,FALSE)-AI35</f>
        <v>0</v>
      </c>
      <c r="AR35" s="165">
        <f>VLOOKUP(AA35,'FY 2005 TABLE 15'!$A$11:$M$148,13,FALSE)-AJ35</f>
        <v>2.9678576538572088E-05</v>
      </c>
    </row>
    <row r="36" spans="1:44" ht="15">
      <c r="A36" s="101" t="s">
        <v>617</v>
      </c>
      <c r="B36" s="61"/>
      <c r="C36" s="72"/>
      <c r="D36" s="72"/>
      <c r="E36" s="72"/>
      <c r="F36" s="32" t="e">
        <f>VLOOKUP($A$5,'Source Data'!A2:P137,12,FALSE)</f>
        <v>#N/A</v>
      </c>
      <c r="G36" s="72"/>
      <c r="H36" s="73"/>
      <c r="I36" s="155"/>
      <c r="J36" s="82"/>
      <c r="K36" s="58"/>
      <c r="L36" s="58"/>
      <c r="M36" s="58"/>
      <c r="N36" s="58"/>
      <c r="O36" s="58"/>
      <c r="P36" s="58"/>
      <c r="Q36" s="58"/>
      <c r="R36" s="58"/>
      <c r="S36" s="58"/>
      <c r="T36" s="58"/>
      <c r="U36" s="58"/>
      <c r="V36" s="58"/>
      <c r="W36" s="58"/>
      <c r="X36" s="58"/>
      <c r="Y36" s="58"/>
      <c r="Z36" s="58"/>
      <c r="AA36" s="113">
        <v>35</v>
      </c>
      <c r="AB36" s="114" t="s">
        <v>336</v>
      </c>
      <c r="AC36" s="115">
        <v>9626512.549999999</v>
      </c>
      <c r="AD36" s="115">
        <v>3795.5244</v>
      </c>
      <c r="AE36" s="115">
        <v>1377542.18</v>
      </c>
      <c r="AF36" s="115">
        <v>543.1349</v>
      </c>
      <c r="AG36" s="115">
        <v>6503770.8100000005</v>
      </c>
      <c r="AH36" s="115">
        <v>2564.2953</v>
      </c>
      <c r="AI36" s="115">
        <v>19699637.72</v>
      </c>
      <c r="AJ36" s="115">
        <v>7767.1384</v>
      </c>
      <c r="AK36" s="164">
        <f>VLOOKUP(AA36,'FY 2005 TABLE 15'!$A$11:$M$148,6,FALSE)-AC36</f>
        <v>0</v>
      </c>
      <c r="AL36" s="164">
        <f>VLOOKUP(AA36,'FY 2005 TABLE 15'!$A$11:$M$148,7,FALSE)-AD36</f>
        <v>-2.966234069390339E-05</v>
      </c>
      <c r="AM36" s="164">
        <f>VLOOKUP(AA36,'FY 2005 TABLE 15'!$A$11:$M$148,10,FALSE)-AE36</f>
        <v>0</v>
      </c>
      <c r="AN36" s="164">
        <f>VLOOKUP(AA36,'FY 2005 TABLE 15'!$A$11:$M$148,11,FALSE)-AF36</f>
        <v>-1.644928829591663E-06</v>
      </c>
      <c r="AO36" s="164">
        <f>VLOOKUP(AA36,'FY 2005 TABLE 15'!$A$11:$M$148,4,FALSE)-AG36</f>
        <v>0</v>
      </c>
      <c r="AP36" s="164">
        <f>VLOOKUP(AA36,'FY 2005 TABLE 15'!$A$11:$M$148,5,FALSE)-AH36</f>
        <v>-2.8973141979804495E-05</v>
      </c>
      <c r="AQ36" s="164">
        <f>VLOOKUP(AA36,'FY 2005 TABLE 15'!$A$11:$M$148,12,FALSE)-AI36</f>
        <v>0</v>
      </c>
      <c r="AR36" s="165">
        <f>VLOOKUP(AA36,'FY 2005 TABLE 15'!$A$11:$M$148,13,FALSE)-AJ36</f>
        <v>-2.4110903723340016E-05</v>
      </c>
    </row>
    <row r="37" spans="1:44" ht="6.75" customHeight="1">
      <c r="A37" s="60"/>
      <c r="B37" s="61"/>
      <c r="C37" s="72"/>
      <c r="D37" s="72"/>
      <c r="E37" s="72"/>
      <c r="F37" s="72"/>
      <c r="G37" s="72"/>
      <c r="H37" s="73"/>
      <c r="I37" s="155"/>
      <c r="J37" s="82"/>
      <c r="K37" s="58"/>
      <c r="L37" s="58"/>
      <c r="M37" s="58"/>
      <c r="N37" s="58"/>
      <c r="O37" s="58"/>
      <c r="P37" s="58"/>
      <c r="Q37" s="58"/>
      <c r="R37" s="58"/>
      <c r="S37" s="58"/>
      <c r="T37" s="58"/>
      <c r="U37" s="58"/>
      <c r="V37" s="58"/>
      <c r="W37" s="58"/>
      <c r="X37" s="58"/>
      <c r="Y37" s="58"/>
      <c r="Z37" s="58"/>
      <c r="AA37" s="113">
        <v>36</v>
      </c>
      <c r="AB37" s="114" t="s">
        <v>337</v>
      </c>
      <c r="AC37" s="115">
        <v>22457231.139999997</v>
      </c>
      <c r="AD37" s="115">
        <v>3698.289</v>
      </c>
      <c r="AE37" s="115">
        <v>3311666.11</v>
      </c>
      <c r="AF37" s="115">
        <v>545.3699</v>
      </c>
      <c r="AG37" s="115">
        <v>19325747.479999974</v>
      </c>
      <c r="AH37" s="115">
        <v>3182.5918</v>
      </c>
      <c r="AI37" s="115">
        <v>50482081.28999997</v>
      </c>
      <c r="AJ37" s="115">
        <v>8313.4614</v>
      </c>
      <c r="AK37" s="164">
        <f>VLOOKUP(AA37,'FY 2005 TABLE 15'!$A$11:$M$148,6,FALSE)-AC37</f>
        <v>0</v>
      </c>
      <c r="AL37" s="164">
        <f>VLOOKUP(AA37,'FY 2005 TABLE 15'!$A$11:$M$148,7,FALSE)-AD37</f>
        <v>-1.7023120108206058E-05</v>
      </c>
      <c r="AM37" s="164">
        <f>VLOOKUP(AA37,'FY 2005 TABLE 15'!$A$11:$M$148,10,FALSE)-AE37</f>
        <v>0</v>
      </c>
      <c r="AN37" s="164">
        <f>VLOOKUP(AA37,'FY 2005 TABLE 15'!$A$11:$M$148,11,FALSE)-AF37</f>
        <v>1.7313452985945332E-05</v>
      </c>
      <c r="AO37" s="164">
        <f>VLOOKUP(AA37,'FY 2005 TABLE 15'!$A$11:$M$148,4,FALSE)-AG37</f>
        <v>0</v>
      </c>
      <c r="AP37" s="164">
        <f>VLOOKUP(AA37,'FY 2005 TABLE 15'!$A$11:$M$148,5,FALSE)-AH37</f>
        <v>-3.0448613415501313E-05</v>
      </c>
      <c r="AQ37" s="164">
        <f>VLOOKUP(AA37,'FY 2005 TABLE 15'!$A$11:$M$148,12,FALSE)-AI37</f>
        <v>0</v>
      </c>
      <c r="AR37" s="165">
        <f>VLOOKUP(AA37,'FY 2005 TABLE 15'!$A$11:$M$148,13,FALSE)-AJ37</f>
        <v>3.737247061508242E-05</v>
      </c>
    </row>
    <row r="38" spans="1:44" ht="15">
      <c r="A38" s="93" t="s">
        <v>443</v>
      </c>
      <c r="B38" s="61"/>
      <c r="C38" s="72"/>
      <c r="D38" s="72"/>
      <c r="E38" s="72"/>
      <c r="F38" s="6" t="e">
        <f>F30+F32-F34-F36</f>
        <v>#N/A</v>
      </c>
      <c r="G38" s="72"/>
      <c r="H38" s="73"/>
      <c r="I38" s="155"/>
      <c r="J38" s="82"/>
      <c r="K38" s="58"/>
      <c r="L38" s="58"/>
      <c r="M38" s="58"/>
      <c r="N38" s="58"/>
      <c r="O38" s="58"/>
      <c r="P38" s="58"/>
      <c r="Q38" s="58"/>
      <c r="R38" s="58"/>
      <c r="S38" s="58"/>
      <c r="T38" s="58"/>
      <c r="U38" s="58"/>
      <c r="V38" s="58"/>
      <c r="W38" s="58"/>
      <c r="X38" s="58"/>
      <c r="Y38" s="58"/>
      <c r="Z38" s="58"/>
      <c r="AA38" s="113">
        <v>37</v>
      </c>
      <c r="AB38" s="114" t="s">
        <v>338</v>
      </c>
      <c r="AC38" s="115">
        <v>2606774.29</v>
      </c>
      <c r="AD38" s="115">
        <v>1201.7215</v>
      </c>
      <c r="AE38" s="115">
        <v>1031124.55</v>
      </c>
      <c r="AF38" s="115">
        <v>475.3478</v>
      </c>
      <c r="AG38" s="115">
        <v>13763542.40000001</v>
      </c>
      <c r="AH38" s="115">
        <v>6344.9854</v>
      </c>
      <c r="AI38" s="115">
        <v>19135759.42000001</v>
      </c>
      <c r="AJ38" s="115">
        <v>8821.5745</v>
      </c>
      <c r="AK38" s="164">
        <f>VLOOKUP(AA38,'FY 2005 TABLE 15'!$A$11:$M$148,6,FALSE)-AC38</f>
        <v>0</v>
      </c>
      <c r="AL38" s="164">
        <f>VLOOKUP(AA38,'FY 2005 TABLE 15'!$A$11:$M$148,7,FALSE)-AD38</f>
        <v>5.624193363473751E-06</v>
      </c>
      <c r="AM38" s="164">
        <f>VLOOKUP(AA38,'FY 2005 TABLE 15'!$A$11:$M$148,10,FALSE)-AE38</f>
        <v>0</v>
      </c>
      <c r="AN38" s="164">
        <f>VLOOKUP(AA38,'FY 2005 TABLE 15'!$A$11:$M$148,11,FALSE)-AF38</f>
        <v>4.7132583517850435E-05</v>
      </c>
      <c r="AO38" s="164">
        <f>VLOOKUP(AA38,'FY 2005 TABLE 15'!$A$11:$M$148,4,FALSE)-AG38</f>
        <v>0</v>
      </c>
      <c r="AP38" s="164">
        <f>VLOOKUP(AA38,'FY 2005 TABLE 15'!$A$11:$M$148,5,FALSE)-AH38</f>
        <v>3.2417486181657296E-05</v>
      </c>
      <c r="AQ38" s="164">
        <f>VLOOKUP(AA38,'FY 2005 TABLE 15'!$A$11:$M$148,12,FALSE)-AI38</f>
        <v>0</v>
      </c>
      <c r="AR38" s="165">
        <f>VLOOKUP(AA38,'FY 2005 TABLE 15'!$A$11:$M$148,13,FALSE)-AJ38</f>
        <v>6.730595487169921E-06</v>
      </c>
    </row>
    <row r="39" spans="1:44" ht="6.75" customHeight="1">
      <c r="A39" s="60"/>
      <c r="B39" s="61"/>
      <c r="C39" s="72"/>
      <c r="D39" s="72"/>
      <c r="E39" s="72"/>
      <c r="F39" s="72"/>
      <c r="G39" s="72"/>
      <c r="H39" s="73"/>
      <c r="I39" s="155"/>
      <c r="J39" s="82"/>
      <c r="K39" s="58"/>
      <c r="L39" s="58"/>
      <c r="M39" s="58"/>
      <c r="N39" s="58"/>
      <c r="O39" s="58"/>
      <c r="P39" s="58"/>
      <c r="Q39" s="58"/>
      <c r="R39" s="58"/>
      <c r="S39" s="58"/>
      <c r="T39" s="58"/>
      <c r="U39" s="58"/>
      <c r="V39" s="58"/>
      <c r="W39" s="58"/>
      <c r="X39" s="58"/>
      <c r="Y39" s="58"/>
      <c r="Z39" s="58"/>
      <c r="AA39" s="113">
        <v>38</v>
      </c>
      <c r="AB39" s="114" t="s">
        <v>339</v>
      </c>
      <c r="AC39" s="115">
        <v>9629548.540000001</v>
      </c>
      <c r="AD39" s="115">
        <v>4422.8846</v>
      </c>
      <c r="AE39" s="115">
        <v>2357989.86</v>
      </c>
      <c r="AF39" s="115">
        <v>1083.0328</v>
      </c>
      <c r="AG39" s="115">
        <v>4748571.099999974</v>
      </c>
      <c r="AH39" s="115">
        <v>2181.0349</v>
      </c>
      <c r="AI39" s="115">
        <v>18577869.479999974</v>
      </c>
      <c r="AJ39" s="115">
        <v>8532.879</v>
      </c>
      <c r="AK39" s="164">
        <f>VLOOKUP(AA39,'FY 2005 TABLE 15'!$A$11:$M$148,6,FALSE)-AC39</f>
        <v>0</v>
      </c>
      <c r="AL39" s="164">
        <f>VLOOKUP(AA39,'FY 2005 TABLE 15'!$A$11:$M$148,7,FALSE)-AD39</f>
        <v>-1.835652074078098E-05</v>
      </c>
      <c r="AM39" s="164">
        <f>VLOOKUP(AA39,'FY 2005 TABLE 15'!$A$11:$M$148,10,FALSE)-AE39</f>
        <v>0</v>
      </c>
      <c r="AN39" s="164">
        <f>VLOOKUP(AA39,'FY 2005 TABLE 15'!$A$11:$M$148,11,FALSE)-AF39</f>
        <v>8.04332148618414E-06</v>
      </c>
      <c r="AO39" s="164">
        <f>VLOOKUP(AA39,'FY 2005 TABLE 15'!$A$11:$M$148,4,FALSE)-AG39</f>
        <v>0</v>
      </c>
      <c r="AP39" s="164">
        <f>VLOOKUP(AA39,'FY 2005 TABLE 15'!$A$11:$M$148,5,FALSE)-AH39</f>
        <v>4.839724851990468E-05</v>
      </c>
      <c r="AQ39" s="164">
        <f>VLOOKUP(AA39,'FY 2005 TABLE 15'!$A$11:$M$148,12,FALSE)-AI39</f>
        <v>0</v>
      </c>
      <c r="AR39" s="165">
        <f>VLOOKUP(AA39,'FY 2005 TABLE 15'!$A$11:$M$148,13,FALSE)-AJ39</f>
        <v>-3.4861259337048978E-06</v>
      </c>
    </row>
    <row r="40" spans="1:44" ht="15.75">
      <c r="A40" s="103" t="s">
        <v>442</v>
      </c>
      <c r="B40" s="70"/>
      <c r="C40" s="72"/>
      <c r="D40" s="72"/>
      <c r="E40" s="72"/>
      <c r="F40" s="72"/>
      <c r="G40" s="72"/>
      <c r="H40" s="66" t="e">
        <f>(F38/$F$50)</f>
        <v>#N/A</v>
      </c>
      <c r="I40" s="155" t="e">
        <f>VLOOKUP($A$5,'FY 2005 TABLE 15'!A11:M148,11,FALSE)</f>
        <v>#N/A</v>
      </c>
      <c r="J40" s="82" t="e">
        <f>IF(H40=I40,"OK","???")</f>
        <v>#N/A</v>
      </c>
      <c r="K40" s="58"/>
      <c r="L40" s="58"/>
      <c r="M40" s="58"/>
      <c r="N40" s="58"/>
      <c r="O40" s="58"/>
      <c r="P40" s="58"/>
      <c r="Q40" s="58"/>
      <c r="R40" s="58"/>
      <c r="S40" s="58"/>
      <c r="T40" s="58"/>
      <c r="U40" s="58"/>
      <c r="V40" s="58"/>
      <c r="W40" s="58"/>
      <c r="X40" s="58"/>
      <c r="Y40" s="58"/>
      <c r="Z40" s="58"/>
      <c r="AA40" s="113">
        <v>39</v>
      </c>
      <c r="AB40" s="114" t="s">
        <v>340</v>
      </c>
      <c r="AC40" s="115">
        <v>11454738.1</v>
      </c>
      <c r="AD40" s="115">
        <v>4319.5597</v>
      </c>
      <c r="AE40" s="115">
        <v>1448429.18</v>
      </c>
      <c r="AF40" s="115">
        <v>546.1999</v>
      </c>
      <c r="AG40" s="115">
        <v>7821663.1100000255</v>
      </c>
      <c r="AH40" s="115">
        <v>2949.5341</v>
      </c>
      <c r="AI40" s="115">
        <v>22922983.010000024</v>
      </c>
      <c r="AJ40" s="115">
        <v>8644.2129</v>
      </c>
      <c r="AK40" s="164">
        <f>VLOOKUP(AA40,'FY 2005 TABLE 15'!$A$11:$M$148,6,FALSE)-AC40</f>
        <v>0</v>
      </c>
      <c r="AL40" s="164">
        <f>VLOOKUP(AA40,'FY 2005 TABLE 15'!$A$11:$M$148,7,FALSE)-AD40</f>
        <v>3.79922548745526E-05</v>
      </c>
      <c r="AM40" s="164">
        <f>VLOOKUP(AA40,'FY 2005 TABLE 15'!$A$11:$M$148,10,FALSE)-AE40</f>
        <v>0</v>
      </c>
      <c r="AN40" s="164">
        <f>VLOOKUP(AA40,'FY 2005 TABLE 15'!$A$11:$M$148,11,FALSE)-AF40</f>
        <v>-3.801789705448755E-05</v>
      </c>
      <c r="AO40" s="164">
        <f>VLOOKUP(AA40,'FY 2005 TABLE 15'!$A$11:$M$148,4,FALSE)-AG40</f>
        <v>0</v>
      </c>
      <c r="AP40" s="164">
        <f>VLOOKUP(AA40,'FY 2005 TABLE 15'!$A$11:$M$148,5,FALSE)-AH40</f>
        <v>3.680365034597344E-05</v>
      </c>
      <c r="AQ40" s="164">
        <f>VLOOKUP(AA40,'FY 2005 TABLE 15'!$A$11:$M$148,12,FALSE)-AI40</f>
        <v>0</v>
      </c>
      <c r="AR40" s="165">
        <f>VLOOKUP(AA40,'FY 2005 TABLE 15'!$A$11:$M$148,13,FALSE)-AJ40</f>
        <v>-3.190512870787643E-05</v>
      </c>
    </row>
    <row r="41" spans="1:44" ht="21.75" customHeight="1">
      <c r="A41" s="71"/>
      <c r="B41" s="72"/>
      <c r="C41" s="72"/>
      <c r="D41" s="72"/>
      <c r="E41" s="72"/>
      <c r="F41" s="72"/>
      <c r="G41" s="72"/>
      <c r="H41" s="73"/>
      <c r="I41" s="155"/>
      <c r="J41" s="82"/>
      <c r="K41" s="58"/>
      <c r="L41" s="58"/>
      <c r="M41" s="58"/>
      <c r="N41" s="58"/>
      <c r="O41" s="58"/>
      <c r="P41" s="58"/>
      <c r="Q41" s="58"/>
      <c r="R41" s="58"/>
      <c r="S41" s="58"/>
      <c r="T41" s="58"/>
      <c r="U41" s="58"/>
      <c r="V41" s="58"/>
      <c r="W41" s="58"/>
      <c r="X41" s="58"/>
      <c r="Y41" s="58"/>
      <c r="Z41" s="58"/>
      <c r="AA41" s="113">
        <v>40</v>
      </c>
      <c r="AB41" s="114" t="s">
        <v>341</v>
      </c>
      <c r="AC41" s="115">
        <v>8102454.209999999</v>
      </c>
      <c r="AD41" s="115">
        <v>5006.7999</v>
      </c>
      <c r="AE41" s="115">
        <v>1855260.94</v>
      </c>
      <c r="AF41" s="115">
        <v>1146.4329</v>
      </c>
      <c r="AG41" s="115">
        <v>3328451.0499999817</v>
      </c>
      <c r="AH41" s="115">
        <v>2056.7704</v>
      </c>
      <c r="AI41" s="115">
        <v>14600421.71999998</v>
      </c>
      <c r="AJ41" s="115">
        <v>9022.1294</v>
      </c>
      <c r="AK41" s="164">
        <f>VLOOKUP(AA41,'FY 2005 TABLE 15'!$A$11:$M$148,6,FALSE)-AC41</f>
        <v>0</v>
      </c>
      <c r="AL41" s="164">
        <f>VLOOKUP(AA41,'FY 2005 TABLE 15'!$A$11:$M$148,7,FALSE)-AD41</f>
        <v>-1.0566782293608412E-07</v>
      </c>
      <c r="AM41" s="164">
        <f>VLOOKUP(AA41,'FY 2005 TABLE 15'!$A$11:$M$148,10,FALSE)-AE41</f>
        <v>0</v>
      </c>
      <c r="AN41" s="164">
        <f>VLOOKUP(AA41,'FY 2005 TABLE 15'!$A$11:$M$148,11,FALSE)-AF41</f>
        <v>2.6113366629942902E-05</v>
      </c>
      <c r="AO41" s="164">
        <f>VLOOKUP(AA41,'FY 2005 TABLE 15'!$A$11:$M$148,4,FALSE)-AG41</f>
        <v>0</v>
      </c>
      <c r="AP41" s="164">
        <f>VLOOKUP(AA41,'FY 2005 TABLE 15'!$A$11:$M$148,5,FALSE)-AH41</f>
        <v>4.9054237933887634E-05</v>
      </c>
      <c r="AQ41" s="164">
        <f>VLOOKUP(AA41,'FY 2005 TABLE 15'!$A$11:$M$148,12,FALSE)-AI41</f>
        <v>0</v>
      </c>
      <c r="AR41" s="165">
        <f>VLOOKUP(AA41,'FY 2005 TABLE 15'!$A$11:$M$148,13,FALSE)-AJ41</f>
        <v>-4.123242433706764E-05</v>
      </c>
    </row>
    <row r="42" spans="1:44" ht="15">
      <c r="A42" s="60" t="s">
        <v>287</v>
      </c>
      <c r="B42" s="72"/>
      <c r="C42" s="72"/>
      <c r="D42" s="72"/>
      <c r="E42" s="72"/>
      <c r="F42" s="6" t="e">
        <f>H12-F22-F26-F38</f>
        <v>#N/A</v>
      </c>
      <c r="G42" s="72"/>
      <c r="H42" s="73"/>
      <c r="I42" s="155"/>
      <c r="J42" s="82"/>
      <c r="K42" s="58"/>
      <c r="L42" s="58"/>
      <c r="M42" s="58"/>
      <c r="N42" s="58"/>
      <c r="O42" s="58"/>
      <c r="P42" s="58"/>
      <c r="Q42" s="58"/>
      <c r="R42" s="58"/>
      <c r="S42" s="58"/>
      <c r="T42" s="58"/>
      <c r="U42" s="58"/>
      <c r="V42" s="58"/>
      <c r="W42" s="58"/>
      <c r="X42" s="58"/>
      <c r="Y42" s="58"/>
      <c r="Z42" s="58"/>
      <c r="AA42" s="113">
        <v>41</v>
      </c>
      <c r="AB42" s="114" t="s">
        <v>342</v>
      </c>
      <c r="AC42" s="115">
        <v>28007134.33</v>
      </c>
      <c r="AD42" s="115">
        <v>4766.3605</v>
      </c>
      <c r="AE42" s="115">
        <v>5622755.54</v>
      </c>
      <c r="AF42" s="115">
        <v>956.9019</v>
      </c>
      <c r="AG42" s="115">
        <v>14783798.60999997</v>
      </c>
      <c r="AH42" s="115">
        <v>2515.963</v>
      </c>
      <c r="AI42" s="115">
        <v>53439190.75999997</v>
      </c>
      <c r="AJ42" s="115">
        <v>9094.4845</v>
      </c>
      <c r="AK42" s="164">
        <f>VLOOKUP(AA42,'FY 2005 TABLE 15'!$A$11:$M$148,6,FALSE)-AC42</f>
        <v>0</v>
      </c>
      <c r="AL42" s="164">
        <f>VLOOKUP(AA42,'FY 2005 TABLE 15'!$A$11:$M$148,7,FALSE)-AD42</f>
        <v>5.4458814702229574E-06</v>
      </c>
      <c r="AM42" s="164">
        <f>VLOOKUP(AA42,'FY 2005 TABLE 15'!$A$11:$M$148,10,FALSE)-AE42</f>
        <v>0</v>
      </c>
      <c r="AN42" s="164">
        <f>VLOOKUP(AA42,'FY 2005 TABLE 15'!$A$11:$M$148,11,FALSE)-AF42</f>
        <v>-4.152484621045005E-06</v>
      </c>
      <c r="AO42" s="164">
        <f>VLOOKUP(AA42,'FY 2005 TABLE 15'!$A$11:$M$148,4,FALSE)-AG42</f>
        <v>0</v>
      </c>
      <c r="AP42" s="164">
        <f>VLOOKUP(AA42,'FY 2005 TABLE 15'!$A$11:$M$148,5,FALSE)-AH42</f>
        <v>3.7440381674969103E-06</v>
      </c>
      <c r="AQ42" s="164">
        <f>VLOOKUP(AA42,'FY 2005 TABLE 15'!$A$11:$M$148,12,FALSE)-AI42</f>
        <v>0</v>
      </c>
      <c r="AR42" s="165">
        <f>VLOOKUP(AA42,'FY 2005 TABLE 15'!$A$11:$M$148,13,FALSE)-AJ42</f>
        <v>-2.75697821052745E-05</v>
      </c>
    </row>
    <row r="43" spans="1:44" ht="6.75" customHeight="1">
      <c r="A43" s="71"/>
      <c r="B43" s="72"/>
      <c r="C43" s="72"/>
      <c r="D43" s="72"/>
      <c r="E43" s="72"/>
      <c r="F43" s="72"/>
      <c r="G43" s="72"/>
      <c r="H43" s="73"/>
      <c r="I43" s="155"/>
      <c r="J43" s="82"/>
      <c r="K43" s="58"/>
      <c r="L43" s="58"/>
      <c r="M43" s="58"/>
      <c r="N43" s="58"/>
      <c r="O43" s="58"/>
      <c r="P43" s="58"/>
      <c r="Q43" s="58"/>
      <c r="R43" s="58"/>
      <c r="S43" s="58"/>
      <c r="T43" s="58"/>
      <c r="U43" s="58"/>
      <c r="V43" s="58"/>
      <c r="W43" s="58"/>
      <c r="X43" s="58"/>
      <c r="Y43" s="58"/>
      <c r="Z43" s="58"/>
      <c r="AA43" s="113">
        <v>42</v>
      </c>
      <c r="AB43" s="114" t="s">
        <v>343</v>
      </c>
      <c r="AC43" s="115">
        <v>51212567.56000001</v>
      </c>
      <c r="AD43" s="115">
        <v>2812.153</v>
      </c>
      <c r="AE43" s="115">
        <v>5162621.05</v>
      </c>
      <c r="AF43" s="115">
        <v>283.4867</v>
      </c>
      <c r="AG43" s="115">
        <v>66205168.910000026</v>
      </c>
      <c r="AH43" s="115">
        <v>3635.4175</v>
      </c>
      <c r="AI43" s="115">
        <v>136503159.04000002</v>
      </c>
      <c r="AJ43" s="115">
        <v>7495.5774</v>
      </c>
      <c r="AK43" s="164">
        <f>VLOOKUP(AA43,'FY 2005 TABLE 15'!$A$11:$M$148,6,FALSE)-AC43</f>
        <v>0</v>
      </c>
      <c r="AL43" s="164">
        <f>VLOOKUP(AA43,'FY 2005 TABLE 15'!$A$11:$M$148,7,FALSE)-AD43</f>
        <v>-3.6652249946200754E-05</v>
      </c>
      <c r="AM43" s="164">
        <f>VLOOKUP(AA43,'FY 2005 TABLE 15'!$A$11:$M$148,10,FALSE)-AE43</f>
        <v>0</v>
      </c>
      <c r="AN43" s="164">
        <f>VLOOKUP(AA43,'FY 2005 TABLE 15'!$A$11:$M$148,11,FALSE)-AF43</f>
        <v>-3.303315111224947E-05</v>
      </c>
      <c r="AO43" s="164">
        <f>VLOOKUP(AA43,'FY 2005 TABLE 15'!$A$11:$M$148,4,FALSE)-AG43</f>
        <v>0</v>
      </c>
      <c r="AP43" s="164">
        <f>VLOOKUP(AA43,'FY 2005 TABLE 15'!$A$11:$M$148,5,FALSE)-AH43</f>
        <v>-4.663623758460744E-05</v>
      </c>
      <c r="AQ43" s="164">
        <f>VLOOKUP(AA43,'FY 2005 TABLE 15'!$A$11:$M$148,12,FALSE)-AI43</f>
        <v>0</v>
      </c>
      <c r="AR43" s="165">
        <f>VLOOKUP(AA43,'FY 2005 TABLE 15'!$A$11:$M$148,13,FALSE)-AJ43</f>
        <v>-1.5582971172989346E-05</v>
      </c>
    </row>
    <row r="44" spans="1:44" ht="15.75">
      <c r="A44" s="103" t="s">
        <v>144</v>
      </c>
      <c r="B44" s="70"/>
      <c r="C44" s="72"/>
      <c r="D44" s="72"/>
      <c r="E44" s="72"/>
      <c r="F44" s="72"/>
      <c r="G44" s="72"/>
      <c r="H44" s="66" t="e">
        <f>(F42/$F$50)</f>
        <v>#N/A</v>
      </c>
      <c r="I44" s="155" t="e">
        <f>VLOOKUP($A$5,'FY 2005 TABLE 15'!A11:M148,5,FALSE)</f>
        <v>#N/A</v>
      </c>
      <c r="J44" s="82" t="e">
        <f>IF(H44=I44,"OK","???")</f>
        <v>#N/A</v>
      </c>
      <c r="K44" s="58"/>
      <c r="L44" s="58"/>
      <c r="M44" s="58"/>
      <c r="N44" s="58"/>
      <c r="O44" s="58"/>
      <c r="P44" s="58"/>
      <c r="Q44" s="58"/>
      <c r="R44" s="58"/>
      <c r="S44" s="58"/>
      <c r="T44" s="58"/>
      <c r="U44" s="58"/>
      <c r="V44" s="58"/>
      <c r="W44" s="58"/>
      <c r="X44" s="58"/>
      <c r="Y44" s="58"/>
      <c r="Z44" s="58"/>
      <c r="AA44" s="113">
        <v>43</v>
      </c>
      <c r="AB44" s="114" t="s">
        <v>344</v>
      </c>
      <c r="AC44" s="115">
        <v>122916065.64</v>
      </c>
      <c r="AD44" s="115">
        <v>2674.3284</v>
      </c>
      <c r="AE44" s="115">
        <v>18958678.63</v>
      </c>
      <c r="AF44" s="115">
        <v>412.4907</v>
      </c>
      <c r="AG44" s="115">
        <v>172131384.3</v>
      </c>
      <c r="AH44" s="115">
        <v>3745.1236</v>
      </c>
      <c r="AI44" s="115">
        <v>350999371</v>
      </c>
      <c r="AJ44" s="115">
        <v>7636.8178</v>
      </c>
      <c r="AK44" s="164">
        <f>VLOOKUP(AA44,'FY 2005 TABLE 15'!$A$11:$M$148,6,FALSE)-AC44</f>
        <v>0</v>
      </c>
      <c r="AL44" s="164">
        <f>VLOOKUP(AA44,'FY 2005 TABLE 15'!$A$11:$M$148,7,FALSE)-AD44</f>
        <v>2.42214186982892E-05</v>
      </c>
      <c r="AM44" s="164">
        <f>VLOOKUP(AA44,'FY 2005 TABLE 15'!$A$11:$M$148,10,FALSE)-AE44</f>
        <v>0</v>
      </c>
      <c r="AN44" s="164">
        <f>VLOOKUP(AA44,'FY 2005 TABLE 15'!$A$11:$M$148,11,FALSE)-AF44</f>
        <v>-6.599636662940611E-06</v>
      </c>
      <c r="AO44" s="164">
        <f>VLOOKUP(AA44,'FY 2005 TABLE 15'!$A$11:$M$148,4,FALSE)-AG44</f>
        <v>0</v>
      </c>
      <c r="AP44" s="164">
        <f>VLOOKUP(AA44,'FY 2005 TABLE 15'!$A$11:$M$148,5,FALSE)-AH44</f>
        <v>-3.6719713079946814E-05</v>
      </c>
      <c r="AQ44" s="164">
        <f>VLOOKUP(AA44,'FY 2005 TABLE 15'!$A$11:$M$148,12,FALSE)-AI44</f>
        <v>0</v>
      </c>
      <c r="AR44" s="165">
        <f>VLOOKUP(AA44,'FY 2005 TABLE 15'!$A$11:$M$148,13,FALSE)-AJ44</f>
        <v>-2.6330010769015644E-05</v>
      </c>
    </row>
    <row r="45" spans="1:44" ht="21.75" customHeight="1">
      <c r="A45" s="71"/>
      <c r="B45" s="72"/>
      <c r="C45" s="72"/>
      <c r="D45" s="72"/>
      <c r="E45" s="72"/>
      <c r="F45" s="72"/>
      <c r="G45" s="72"/>
      <c r="H45" s="73"/>
      <c r="I45" s="155"/>
      <c r="J45" s="82"/>
      <c r="K45" s="58"/>
      <c r="L45" s="58"/>
      <c r="M45" s="58"/>
      <c r="N45" s="58"/>
      <c r="O45" s="58"/>
      <c r="P45" s="58"/>
      <c r="Q45" s="58"/>
      <c r="R45" s="58"/>
      <c r="S45" s="58"/>
      <c r="T45" s="58"/>
      <c r="U45" s="58"/>
      <c r="V45" s="58"/>
      <c r="W45" s="58"/>
      <c r="X45" s="58"/>
      <c r="Y45" s="58"/>
      <c r="Z45" s="58"/>
      <c r="AA45" s="113">
        <v>44</v>
      </c>
      <c r="AB45" s="114" t="s">
        <v>345</v>
      </c>
      <c r="AC45" s="115">
        <v>33374474.89999999</v>
      </c>
      <c r="AD45" s="115">
        <v>4313.3353</v>
      </c>
      <c r="AE45" s="115">
        <v>6323119.339999998</v>
      </c>
      <c r="AF45" s="115">
        <v>817.2034</v>
      </c>
      <c r="AG45" s="115">
        <v>14054695.410000069</v>
      </c>
      <c r="AH45" s="115">
        <v>1816.4365</v>
      </c>
      <c r="AI45" s="115">
        <v>61276896.97000006</v>
      </c>
      <c r="AJ45" s="115">
        <v>7919.4595</v>
      </c>
      <c r="AK45" s="164">
        <f>VLOOKUP(AA45,'FY 2005 TABLE 15'!$A$11:$M$148,6,FALSE)-AC45</f>
        <v>0</v>
      </c>
      <c r="AL45" s="164">
        <f>VLOOKUP(AA45,'FY 2005 TABLE 15'!$A$11:$M$148,7,FALSE)-AD45</f>
        <v>-1.5134456589294132E-05</v>
      </c>
      <c r="AM45" s="164">
        <f>VLOOKUP(AA45,'FY 2005 TABLE 15'!$A$11:$M$148,10,FALSE)-AE45</f>
        <v>0</v>
      </c>
      <c r="AN45" s="164">
        <f>VLOOKUP(AA45,'FY 2005 TABLE 15'!$A$11:$M$148,11,FALSE)-AF45</f>
        <v>-1.8033450260190875E-05</v>
      </c>
      <c r="AO45" s="164">
        <f>VLOOKUP(AA45,'FY 2005 TABLE 15'!$A$11:$M$148,4,FALSE)-AG45</f>
        <v>0</v>
      </c>
      <c r="AP45" s="164">
        <f>VLOOKUP(AA45,'FY 2005 TABLE 15'!$A$11:$M$148,5,FALSE)-AH45</f>
        <v>-2.237346757283376E-05</v>
      </c>
      <c r="AQ45" s="164">
        <f>VLOOKUP(AA45,'FY 2005 TABLE 15'!$A$11:$M$148,12,FALSE)-AI45</f>
        <v>0</v>
      </c>
      <c r="AR45" s="165">
        <f>VLOOKUP(AA45,'FY 2005 TABLE 15'!$A$11:$M$148,13,FALSE)-AJ45</f>
        <v>-1.3679457879334223E-05</v>
      </c>
    </row>
    <row r="46" spans="1:44" ht="15">
      <c r="A46" s="60" t="s">
        <v>9</v>
      </c>
      <c r="B46" s="72"/>
      <c r="C46" s="72"/>
      <c r="D46" s="72"/>
      <c r="E46" s="72"/>
      <c r="F46" s="6" t="e">
        <f>H12</f>
        <v>#N/A</v>
      </c>
      <c r="G46" s="72"/>
      <c r="H46" s="73"/>
      <c r="I46" s="155"/>
      <c r="J46" s="82"/>
      <c r="K46" s="58"/>
      <c r="L46" s="58"/>
      <c r="M46" s="58"/>
      <c r="N46" s="58"/>
      <c r="O46" s="58"/>
      <c r="P46" s="58"/>
      <c r="Q46" s="58"/>
      <c r="R46" s="58"/>
      <c r="S46" s="58"/>
      <c r="T46" s="58"/>
      <c r="U46" s="58"/>
      <c r="V46" s="58"/>
      <c r="W46" s="58"/>
      <c r="X46" s="58"/>
      <c r="Y46" s="58"/>
      <c r="Z46" s="58"/>
      <c r="AA46" s="113">
        <v>45</v>
      </c>
      <c r="AB46" s="114" t="s">
        <v>346</v>
      </c>
      <c r="AC46" s="115">
        <v>1118079.35</v>
      </c>
      <c r="AD46" s="115">
        <v>3695.3971</v>
      </c>
      <c r="AE46" s="115">
        <v>289092.1</v>
      </c>
      <c r="AF46" s="115">
        <v>955.4868</v>
      </c>
      <c r="AG46" s="115">
        <v>1674466.04</v>
      </c>
      <c r="AH46" s="115">
        <v>5534.3272</v>
      </c>
      <c r="AI46" s="115">
        <v>3352667.99</v>
      </c>
      <c r="AJ46" s="115">
        <v>11081.0021</v>
      </c>
      <c r="AK46" s="164">
        <f>VLOOKUP(AA46,'FY 2005 TABLE 15'!$A$11:$M$148,6,FALSE)-AC46</f>
        <v>0</v>
      </c>
      <c r="AL46" s="164">
        <f>VLOOKUP(AA46,'FY 2005 TABLE 15'!$A$11:$M$148,7,FALSE)-AD46</f>
        <v>1.1316763902868843E-05</v>
      </c>
      <c r="AM46" s="164">
        <f>VLOOKUP(AA46,'FY 2005 TABLE 15'!$A$11:$M$148,10,FALSE)-AE46</f>
        <v>0</v>
      </c>
      <c r="AN46" s="164">
        <f>VLOOKUP(AA46,'FY 2005 TABLE 15'!$A$11:$M$148,11,FALSE)-AF46</f>
        <v>4.5584346821669897E-05</v>
      </c>
      <c r="AO46" s="164">
        <f>VLOOKUP(AA46,'FY 2005 TABLE 15'!$A$11:$M$148,4,FALSE)-AG46</f>
        <v>0</v>
      </c>
      <c r="AP46" s="164">
        <f>VLOOKUP(AA46,'FY 2005 TABLE 15'!$A$11:$M$148,5,FALSE)-AH46</f>
        <v>7.826547516742721E-06</v>
      </c>
      <c r="AQ46" s="164">
        <f>VLOOKUP(AA46,'FY 2005 TABLE 15'!$A$11:$M$148,12,FALSE)-AI46</f>
        <v>0</v>
      </c>
      <c r="AR46" s="165">
        <f>VLOOKUP(AA46,'FY 2005 TABLE 15'!$A$11:$M$148,13,FALSE)-AJ46</f>
        <v>-1.7768375982996076E-05</v>
      </c>
    </row>
    <row r="47" spans="1:44" ht="6.75" customHeight="1">
      <c r="A47" s="71"/>
      <c r="B47" s="72"/>
      <c r="C47" s="72"/>
      <c r="D47" s="72"/>
      <c r="E47" s="72"/>
      <c r="F47" s="72"/>
      <c r="G47" s="72"/>
      <c r="H47" s="73"/>
      <c r="I47" s="155"/>
      <c r="J47" s="82"/>
      <c r="K47" s="58"/>
      <c r="L47" s="58"/>
      <c r="M47" s="58"/>
      <c r="N47" s="58"/>
      <c r="O47" s="58"/>
      <c r="P47" s="58"/>
      <c r="Q47" s="58"/>
      <c r="R47" s="58"/>
      <c r="S47" s="58"/>
      <c r="T47" s="58"/>
      <c r="U47" s="58"/>
      <c r="V47" s="58"/>
      <c r="W47" s="58"/>
      <c r="X47" s="58"/>
      <c r="Y47" s="58"/>
      <c r="Z47" s="58"/>
      <c r="AA47" s="113">
        <v>46</v>
      </c>
      <c r="AB47" s="114" t="s">
        <v>347</v>
      </c>
      <c r="AC47" s="115">
        <v>17238698.26</v>
      </c>
      <c r="AD47" s="115">
        <v>3417.6642</v>
      </c>
      <c r="AE47" s="115">
        <v>2851545.11</v>
      </c>
      <c r="AF47" s="115">
        <v>565.3341</v>
      </c>
      <c r="AG47" s="115">
        <v>15987399.79</v>
      </c>
      <c r="AH47" s="115">
        <v>3169.5876</v>
      </c>
      <c r="AI47" s="115">
        <v>40703878</v>
      </c>
      <c r="AJ47" s="115">
        <v>8069.7617</v>
      </c>
      <c r="AK47" s="164">
        <f>VLOOKUP(AA47,'FY 2005 TABLE 15'!$A$11:$M$148,6,FALSE)-AC47</f>
        <v>0</v>
      </c>
      <c r="AL47" s="164">
        <f>VLOOKUP(AA47,'FY 2005 TABLE 15'!$A$11:$M$148,7,FALSE)-AD47</f>
        <v>6.978588771744398E-06</v>
      </c>
      <c r="AM47" s="164">
        <f>VLOOKUP(AA47,'FY 2005 TABLE 15'!$A$11:$M$148,10,FALSE)-AE47</f>
        <v>0</v>
      </c>
      <c r="AN47" s="164">
        <f>VLOOKUP(AA47,'FY 2005 TABLE 15'!$A$11:$M$148,11,FALSE)-AF47</f>
        <v>-1.7922283973348385E-05</v>
      </c>
      <c r="AO47" s="164">
        <f>VLOOKUP(AA47,'FY 2005 TABLE 15'!$A$11:$M$148,4,FALSE)-AG47</f>
        <v>0</v>
      </c>
      <c r="AP47" s="164">
        <f>VLOOKUP(AA47,'FY 2005 TABLE 15'!$A$11:$M$148,5,FALSE)-AH47</f>
        <v>-1.2767644875566475E-05</v>
      </c>
      <c r="AQ47" s="164">
        <f>VLOOKUP(AA47,'FY 2005 TABLE 15'!$A$11:$M$148,12,FALSE)-AI47</f>
        <v>0</v>
      </c>
      <c r="AR47" s="165">
        <f>VLOOKUP(AA47,'FY 2005 TABLE 15'!$A$11:$M$148,13,FALSE)-AJ47</f>
        <v>-2.9341790650505573E-06</v>
      </c>
    </row>
    <row r="48" spans="1:44" ht="15.75">
      <c r="A48" s="103" t="s">
        <v>10</v>
      </c>
      <c r="B48" s="70"/>
      <c r="C48" s="72"/>
      <c r="D48" s="72"/>
      <c r="E48" s="72"/>
      <c r="F48" s="72"/>
      <c r="G48" s="72"/>
      <c r="H48" s="66" t="e">
        <f>(F46/$F$50)</f>
        <v>#N/A</v>
      </c>
      <c r="I48" s="155" t="e">
        <f>VLOOKUP($A$5,'FY 2005 TABLE 15'!A11:M148,13,FALSE)</f>
        <v>#N/A</v>
      </c>
      <c r="J48" s="82" t="e">
        <f>IF(H48=I48,"OK","???")</f>
        <v>#N/A</v>
      </c>
      <c r="K48" s="58"/>
      <c r="L48" s="58"/>
      <c r="M48" s="58"/>
      <c r="N48" s="58"/>
      <c r="O48" s="58"/>
      <c r="P48" s="58"/>
      <c r="Q48" s="58"/>
      <c r="R48" s="58"/>
      <c r="S48" s="58"/>
      <c r="T48" s="58"/>
      <c r="U48" s="58"/>
      <c r="V48" s="58"/>
      <c r="W48" s="58"/>
      <c r="X48" s="58"/>
      <c r="Y48" s="58"/>
      <c r="Z48" s="58"/>
      <c r="AA48" s="113">
        <v>47</v>
      </c>
      <c r="AB48" s="114" t="s">
        <v>348</v>
      </c>
      <c r="AC48" s="115">
        <v>19079563.18</v>
      </c>
      <c r="AD48" s="115">
        <v>2195.6325</v>
      </c>
      <c r="AE48" s="115">
        <v>10394</v>
      </c>
      <c r="AF48" s="115">
        <v>1.1961</v>
      </c>
      <c r="AG48" s="115">
        <v>50721849.76</v>
      </c>
      <c r="AH48" s="115">
        <v>5836.9544</v>
      </c>
      <c r="AI48" s="115">
        <v>76899727.66</v>
      </c>
      <c r="AJ48" s="115">
        <v>8849.4447</v>
      </c>
      <c r="AK48" s="164">
        <f>VLOOKUP(AA48,'FY 2005 TABLE 15'!$A$11:$M$148,6,FALSE)-AC48</f>
        <v>0</v>
      </c>
      <c r="AL48" s="164">
        <f>VLOOKUP(AA48,'FY 2005 TABLE 15'!$A$11:$M$148,7,FALSE)-AD48</f>
        <v>-2.3688747205596883E-05</v>
      </c>
      <c r="AM48" s="164">
        <f>VLOOKUP(AA48,'FY 2005 TABLE 15'!$A$11:$M$148,10,FALSE)-AE48</f>
        <v>0</v>
      </c>
      <c r="AN48" s="164">
        <f>VLOOKUP(AA48,'FY 2005 TABLE 15'!$A$11:$M$148,11,FALSE)-AF48</f>
        <v>1.7738308679904335E-05</v>
      </c>
      <c r="AO48" s="164">
        <f>VLOOKUP(AA48,'FY 2005 TABLE 15'!$A$11:$M$148,4,FALSE)-AG48</f>
        <v>0</v>
      </c>
      <c r="AP48" s="164">
        <f>VLOOKUP(AA48,'FY 2005 TABLE 15'!$A$11:$M$148,5,FALSE)-AH48</f>
        <v>1.771828465280123E-05</v>
      </c>
      <c r="AQ48" s="164">
        <f>VLOOKUP(AA48,'FY 2005 TABLE 15'!$A$11:$M$148,12,FALSE)-AI48</f>
        <v>0</v>
      </c>
      <c r="AR48" s="165">
        <f>VLOOKUP(AA48,'FY 2005 TABLE 15'!$A$11:$M$148,13,FALSE)-AJ48</f>
        <v>1.0913277947111055E-05</v>
      </c>
    </row>
    <row r="49" spans="1:44" ht="21.75" customHeight="1">
      <c r="A49" s="71"/>
      <c r="B49" s="72"/>
      <c r="C49" s="72"/>
      <c r="D49" s="72"/>
      <c r="E49" s="72"/>
      <c r="F49" s="72"/>
      <c r="G49" s="72"/>
      <c r="H49" s="73"/>
      <c r="I49" s="155"/>
      <c r="J49" s="82"/>
      <c r="K49" s="58"/>
      <c r="L49" s="58"/>
      <c r="M49" s="58"/>
      <c r="N49" s="58"/>
      <c r="O49" s="58"/>
      <c r="P49" s="58"/>
      <c r="Q49" s="58"/>
      <c r="R49" s="58"/>
      <c r="S49" s="58"/>
      <c r="T49" s="58"/>
      <c r="U49" s="58"/>
      <c r="V49" s="58"/>
      <c r="W49" s="58"/>
      <c r="X49" s="58"/>
      <c r="Y49" s="58"/>
      <c r="Z49" s="58"/>
      <c r="AA49" s="113">
        <v>48</v>
      </c>
      <c r="AB49" s="114" t="s">
        <v>349</v>
      </c>
      <c r="AC49" s="115">
        <v>11415601.810000002</v>
      </c>
      <c r="AD49" s="115">
        <v>3392.8455</v>
      </c>
      <c r="AE49" s="115">
        <v>884922.53</v>
      </c>
      <c r="AF49" s="115">
        <v>263.0089</v>
      </c>
      <c r="AG49" s="115">
        <v>9105975.48999997</v>
      </c>
      <c r="AH49" s="115">
        <v>2706.3985</v>
      </c>
      <c r="AI49" s="115">
        <v>23833297.559999973</v>
      </c>
      <c r="AJ49" s="115">
        <v>7083.5246</v>
      </c>
      <c r="AK49" s="164">
        <f>VLOOKUP(AA49,'FY 2005 TABLE 15'!$A$11:$M$148,6,FALSE)-AC49</f>
        <v>0</v>
      </c>
      <c r="AL49" s="164">
        <f>VLOOKUP(AA49,'FY 2005 TABLE 15'!$A$11:$M$148,7,FALSE)-AD49</f>
        <v>-2.6081774194608442E-05</v>
      </c>
      <c r="AM49" s="164">
        <f>VLOOKUP(AA49,'FY 2005 TABLE 15'!$A$11:$M$148,10,FALSE)-AE49</f>
        <v>0</v>
      </c>
      <c r="AN49" s="164">
        <f>VLOOKUP(AA49,'FY 2005 TABLE 15'!$A$11:$M$148,11,FALSE)-AF49</f>
        <v>4.605912721444838E-05</v>
      </c>
      <c r="AO49" s="164">
        <f>VLOOKUP(AA49,'FY 2005 TABLE 15'!$A$11:$M$148,4,FALSE)-AG49</f>
        <v>0</v>
      </c>
      <c r="AP49" s="164">
        <f>VLOOKUP(AA49,'FY 2005 TABLE 15'!$A$11:$M$148,5,FALSE)-AH49</f>
        <v>9.782699635252357E-06</v>
      </c>
      <c r="AQ49" s="164">
        <f>VLOOKUP(AA49,'FY 2005 TABLE 15'!$A$11:$M$148,12,FALSE)-AI49</f>
        <v>0</v>
      </c>
      <c r="AR49" s="165">
        <f>VLOOKUP(AA49,'FY 2005 TABLE 15'!$A$11:$M$148,13,FALSE)-AJ49</f>
        <v>-4.291909863241017E-05</v>
      </c>
    </row>
    <row r="50" spans="1:44" ht="15.75">
      <c r="A50" s="74" t="s">
        <v>288</v>
      </c>
      <c r="B50" s="72"/>
      <c r="C50" s="72"/>
      <c r="D50" s="72"/>
      <c r="E50" s="72"/>
      <c r="F50" s="168" t="e">
        <f>VLOOKUP($A$5,'Source Data'!A2:Q137,17,FALSE)</f>
        <v>#N/A</v>
      </c>
      <c r="G50" s="72"/>
      <c r="H50" s="65"/>
      <c r="I50" s="155"/>
      <c r="J50" s="82"/>
      <c r="K50" s="58"/>
      <c r="L50" s="58"/>
      <c r="M50" s="58"/>
      <c r="N50" s="58"/>
      <c r="O50" s="58"/>
      <c r="P50" s="58"/>
      <c r="Q50" s="58"/>
      <c r="R50" s="58"/>
      <c r="S50" s="58"/>
      <c r="T50" s="58"/>
      <c r="U50" s="58"/>
      <c r="V50" s="58"/>
      <c r="W50" s="58"/>
      <c r="X50" s="58"/>
      <c r="Y50" s="58"/>
      <c r="Z50" s="58"/>
      <c r="AA50" s="113">
        <v>49</v>
      </c>
      <c r="AB50" s="114" t="s">
        <v>350</v>
      </c>
      <c r="AC50" s="115">
        <v>4074509.95</v>
      </c>
      <c r="AD50" s="115">
        <v>4963.2855</v>
      </c>
      <c r="AE50" s="115">
        <v>855930.71</v>
      </c>
      <c r="AF50" s="115">
        <v>1042.6354</v>
      </c>
      <c r="AG50" s="115">
        <v>3380367.56</v>
      </c>
      <c r="AH50" s="115">
        <v>4117.7294</v>
      </c>
      <c r="AI50" s="115">
        <v>9081843.880000003</v>
      </c>
      <c r="AJ50" s="115">
        <v>11062.8724</v>
      </c>
      <c r="AK50" s="164">
        <f>VLOOKUP(AA50,'FY 2005 TABLE 15'!$A$11:$M$148,6,FALSE)-AC50</f>
        <v>0</v>
      </c>
      <c r="AL50" s="164">
        <f>VLOOKUP(AA50,'FY 2005 TABLE 15'!$A$11:$M$148,7,FALSE)-AD50</f>
        <v>-1.889929626486264E-05</v>
      </c>
      <c r="AM50" s="164">
        <f>VLOOKUP(AA50,'FY 2005 TABLE 15'!$A$11:$M$148,10,FALSE)-AE50</f>
        <v>0</v>
      </c>
      <c r="AN50" s="164">
        <f>VLOOKUP(AA50,'FY 2005 TABLE 15'!$A$11:$M$148,11,FALSE)-AF50</f>
        <v>3.785706462622329E-05</v>
      </c>
      <c r="AO50" s="164">
        <f>VLOOKUP(AA50,'FY 2005 TABLE 15'!$A$11:$M$148,4,FALSE)-AG50</f>
        <v>0</v>
      </c>
      <c r="AP50" s="164">
        <f>VLOOKUP(AA50,'FY 2005 TABLE 15'!$A$11:$M$148,5,FALSE)-AH50</f>
        <v>-4.4269301724852994E-05</v>
      </c>
      <c r="AQ50" s="164">
        <f>VLOOKUP(AA50,'FY 2005 TABLE 15'!$A$11:$M$148,12,FALSE)-AI50</f>
        <v>0</v>
      </c>
      <c r="AR50" s="165">
        <f>VLOOKUP(AA50,'FY 2005 TABLE 15'!$A$11:$M$148,13,FALSE)-AJ50</f>
        <v>4.9538941311766393E-05</v>
      </c>
    </row>
    <row r="51" spans="1:44" ht="15.75" thickBot="1">
      <c r="A51" s="75"/>
      <c r="B51" s="76"/>
      <c r="C51" s="76"/>
      <c r="D51" s="76"/>
      <c r="E51" s="76"/>
      <c r="F51" s="76"/>
      <c r="G51" s="76"/>
      <c r="H51" s="77"/>
      <c r="I51" s="155"/>
      <c r="J51" s="82"/>
      <c r="K51" s="58"/>
      <c r="L51" s="58"/>
      <c r="M51" s="58"/>
      <c r="N51" s="58"/>
      <c r="O51" s="58"/>
      <c r="P51" s="58"/>
      <c r="Q51" s="58"/>
      <c r="R51" s="58"/>
      <c r="S51" s="58"/>
      <c r="T51" s="58"/>
      <c r="U51" s="58"/>
      <c r="V51" s="58"/>
      <c r="W51" s="58"/>
      <c r="X51" s="58"/>
      <c r="Y51" s="58"/>
      <c r="Z51" s="58"/>
      <c r="AA51" s="113">
        <v>50</v>
      </c>
      <c r="AB51" s="114" t="s">
        <v>351</v>
      </c>
      <c r="AC51" s="115">
        <v>7473686.9399999995</v>
      </c>
      <c r="AD51" s="115">
        <v>3905.9516</v>
      </c>
      <c r="AE51" s="115">
        <v>988637.25</v>
      </c>
      <c r="AF51" s="115">
        <v>516.6887</v>
      </c>
      <c r="AG51" s="115">
        <v>5609560.170000003</v>
      </c>
      <c r="AH51" s="115">
        <v>2931.7084</v>
      </c>
      <c r="AI51" s="115">
        <v>15578841.660000002</v>
      </c>
      <c r="AJ51" s="115">
        <v>8141.9255</v>
      </c>
      <c r="AK51" s="164">
        <f>VLOOKUP(AA51,'FY 2005 TABLE 15'!$A$11:$M$148,6,FALSE)-AC51</f>
        <v>0</v>
      </c>
      <c r="AL51" s="164">
        <f>VLOOKUP(AA51,'FY 2005 TABLE 15'!$A$11:$M$148,7,FALSE)-AD51</f>
        <v>4.6536810714314925E-05</v>
      </c>
      <c r="AM51" s="164">
        <f>VLOOKUP(AA51,'FY 2005 TABLE 15'!$A$11:$M$148,10,FALSE)-AE51</f>
        <v>0</v>
      </c>
      <c r="AN51" s="164">
        <f>VLOOKUP(AA51,'FY 2005 TABLE 15'!$A$11:$M$148,11,FALSE)-AF51</f>
        <v>-3.944110255815758E-05</v>
      </c>
      <c r="AO51" s="164">
        <f>VLOOKUP(AA51,'FY 2005 TABLE 15'!$A$11:$M$148,4,FALSE)-AG51</f>
        <v>0</v>
      </c>
      <c r="AP51" s="164">
        <f>VLOOKUP(AA51,'FY 2005 TABLE 15'!$A$11:$M$148,5,FALSE)-AH51</f>
        <v>1.860562406363897E-07</v>
      </c>
      <c r="AQ51" s="164">
        <f>VLOOKUP(AA51,'FY 2005 TABLE 15'!$A$11:$M$148,12,FALSE)-AI51</f>
        <v>0</v>
      </c>
      <c r="AR51" s="165">
        <f>VLOOKUP(AA51,'FY 2005 TABLE 15'!$A$11:$M$148,13,FALSE)-AJ51</f>
        <v>-5.7253801060141996E-06</v>
      </c>
    </row>
    <row r="52" spans="1:44" ht="15">
      <c r="A52" s="59"/>
      <c r="B52" s="59"/>
      <c r="C52" s="59"/>
      <c r="D52" s="59"/>
      <c r="E52" s="59"/>
      <c r="F52" s="59"/>
      <c r="G52" s="59"/>
      <c r="H52" s="59"/>
      <c r="I52" s="155"/>
      <c r="J52" s="82"/>
      <c r="K52" s="58"/>
      <c r="L52" s="58"/>
      <c r="M52" s="58"/>
      <c r="N52" s="58"/>
      <c r="O52" s="58"/>
      <c r="P52" s="58"/>
      <c r="Q52" s="58"/>
      <c r="R52" s="58"/>
      <c r="S52" s="58"/>
      <c r="T52" s="58"/>
      <c r="U52" s="58"/>
      <c r="V52" s="58"/>
      <c r="W52" s="58"/>
      <c r="X52" s="58"/>
      <c r="Y52" s="58"/>
      <c r="Z52" s="58"/>
      <c r="AA52" s="113">
        <v>51</v>
      </c>
      <c r="AB52" s="114" t="s">
        <v>352</v>
      </c>
      <c r="AC52" s="115">
        <v>2427512.44</v>
      </c>
      <c r="AD52" s="115">
        <v>1733.5412</v>
      </c>
      <c r="AE52" s="115">
        <v>1230458.05</v>
      </c>
      <c r="AF52" s="115">
        <v>878.6978</v>
      </c>
      <c r="AG52" s="115">
        <v>7920424.440000002</v>
      </c>
      <c r="AH52" s="115">
        <v>5656.1532</v>
      </c>
      <c r="AI52" s="115">
        <v>12785901.850000001</v>
      </c>
      <c r="AJ52" s="115">
        <v>9130.7</v>
      </c>
      <c r="AK52" s="164">
        <f>VLOOKUP(AA52,'FY 2005 TABLE 15'!$A$11:$M$148,6,FALSE)-AC52</f>
        <v>0</v>
      </c>
      <c r="AL52" s="164">
        <f>VLOOKUP(AA52,'FY 2005 TABLE 15'!$A$11:$M$148,7,FALSE)-AD52</f>
        <v>1.914990866680455E-05</v>
      </c>
      <c r="AM52" s="164">
        <f>VLOOKUP(AA52,'FY 2005 TABLE 15'!$A$11:$M$148,10,FALSE)-AE52</f>
        <v>0</v>
      </c>
      <c r="AN52" s="164">
        <f>VLOOKUP(AA52,'FY 2005 TABLE 15'!$A$11:$M$148,11,FALSE)-AF52</f>
        <v>-3.8059871940276935E-05</v>
      </c>
      <c r="AO52" s="164">
        <f>VLOOKUP(AA52,'FY 2005 TABLE 15'!$A$11:$M$148,4,FALSE)-AG52</f>
        <v>0</v>
      </c>
      <c r="AP52" s="164">
        <f>VLOOKUP(AA52,'FY 2005 TABLE 15'!$A$11:$M$148,5,FALSE)-AH52</f>
        <v>-6.444240170822013E-06</v>
      </c>
      <c r="AQ52" s="164">
        <f>VLOOKUP(AA52,'FY 2005 TABLE 15'!$A$11:$M$148,12,FALSE)-AI52</f>
        <v>0</v>
      </c>
      <c r="AR52" s="165">
        <f>VLOOKUP(AA52,'FY 2005 TABLE 15'!$A$11:$M$148,13,FALSE)-AJ52</f>
        <v>1.856718517956324E-05</v>
      </c>
    </row>
    <row r="53" spans="1:44" ht="15">
      <c r="A53" s="59"/>
      <c r="B53" s="59"/>
      <c r="C53" s="59"/>
      <c r="D53" s="59"/>
      <c r="E53" s="59"/>
      <c r="F53" s="59"/>
      <c r="G53" s="59"/>
      <c r="H53" s="59"/>
      <c r="I53" s="155"/>
      <c r="J53" s="82"/>
      <c r="K53" s="58"/>
      <c r="L53" s="58"/>
      <c r="M53" s="58"/>
      <c r="N53" s="58"/>
      <c r="O53" s="58"/>
      <c r="P53" s="58"/>
      <c r="Q53" s="58"/>
      <c r="R53" s="58"/>
      <c r="S53" s="58"/>
      <c r="T53" s="58"/>
      <c r="U53" s="58"/>
      <c r="V53" s="58"/>
      <c r="W53" s="58"/>
      <c r="X53" s="58"/>
      <c r="Y53" s="58"/>
      <c r="Z53" s="58"/>
      <c r="AA53" s="113">
        <v>52</v>
      </c>
      <c r="AB53" s="114" t="s">
        <v>353</v>
      </c>
      <c r="AC53" s="115">
        <v>19568796.480000004</v>
      </c>
      <c r="AD53" s="115">
        <v>5387.8252</v>
      </c>
      <c r="AE53" s="115">
        <v>5436018.02</v>
      </c>
      <c r="AF53" s="115">
        <v>1496.6845</v>
      </c>
      <c r="AG53" s="115">
        <v>4884540.839999989</v>
      </c>
      <c r="AH53" s="115">
        <v>1344.8478</v>
      </c>
      <c r="AI53" s="115">
        <v>33109835.819999993</v>
      </c>
      <c r="AJ53" s="115">
        <v>9116.0438</v>
      </c>
      <c r="AK53" s="164">
        <f>VLOOKUP(AA53,'FY 2005 TABLE 15'!$A$11:$M$148,6,FALSE)-AC53</f>
        <v>0</v>
      </c>
      <c r="AL53" s="164">
        <f>VLOOKUP(AA53,'FY 2005 TABLE 15'!$A$11:$M$148,7,FALSE)-AD53</f>
        <v>-4.38893848695443E-05</v>
      </c>
      <c r="AM53" s="164">
        <f>VLOOKUP(AA53,'FY 2005 TABLE 15'!$A$11:$M$148,10,FALSE)-AE53</f>
        <v>0</v>
      </c>
      <c r="AN53" s="164">
        <f>VLOOKUP(AA53,'FY 2005 TABLE 15'!$A$11:$M$148,11,FALSE)-AF53</f>
        <v>1.3386416185312555E-05</v>
      </c>
      <c r="AO53" s="164">
        <f>VLOOKUP(AA53,'FY 2005 TABLE 15'!$A$11:$M$148,4,FALSE)-AG53</f>
        <v>0</v>
      </c>
      <c r="AP53" s="164">
        <f>VLOOKUP(AA53,'FY 2005 TABLE 15'!$A$11:$M$148,5,FALSE)-AH53</f>
        <v>-4.5019330173090566E-05</v>
      </c>
      <c r="AQ53" s="164">
        <f>VLOOKUP(AA53,'FY 2005 TABLE 15'!$A$11:$M$148,12,FALSE)-AI53</f>
        <v>0</v>
      </c>
      <c r="AR53" s="165">
        <f>VLOOKUP(AA53,'FY 2005 TABLE 15'!$A$11:$M$148,13,FALSE)-AJ53</f>
        <v>2.6609837732394226E-05</v>
      </c>
    </row>
    <row r="54" spans="1:44" ht="15">
      <c r="A54" s="59"/>
      <c r="B54" s="59"/>
      <c r="C54" s="59"/>
      <c r="D54" s="59"/>
      <c r="E54" s="59"/>
      <c r="F54" s="59"/>
      <c r="G54" s="59"/>
      <c r="H54" s="59"/>
      <c r="I54" s="155"/>
      <c r="J54" s="82"/>
      <c r="K54" s="58"/>
      <c r="L54" s="58"/>
      <c r="M54" s="58"/>
      <c r="N54" s="58"/>
      <c r="O54" s="58"/>
      <c r="P54" s="58"/>
      <c r="Q54" s="58"/>
      <c r="R54" s="58"/>
      <c r="S54" s="58"/>
      <c r="T54" s="58"/>
      <c r="U54" s="58"/>
      <c r="V54" s="58"/>
      <c r="W54" s="58"/>
      <c r="X54" s="58"/>
      <c r="Y54" s="58"/>
      <c r="Z54" s="58"/>
      <c r="AA54" s="113">
        <v>53</v>
      </c>
      <c r="AB54" s="114" t="s">
        <v>354</v>
      </c>
      <c r="AC54" s="115">
        <v>71094745.13</v>
      </c>
      <c r="AD54" s="115">
        <v>1629.4635</v>
      </c>
      <c r="AE54" s="115">
        <v>9738715.289999997</v>
      </c>
      <c r="AF54" s="115">
        <v>223.2075</v>
      </c>
      <c r="AG54" s="115">
        <v>378030534.1899996</v>
      </c>
      <c r="AH54" s="115">
        <v>8664.3104</v>
      </c>
      <c r="AI54" s="115">
        <v>490683395.6799996</v>
      </c>
      <c r="AJ54" s="115">
        <v>11246.2694</v>
      </c>
      <c r="AK54" s="164">
        <f>VLOOKUP(AA54,'FY 2005 TABLE 15'!$A$11:$M$148,6,FALSE)-AC54</f>
        <v>0</v>
      </c>
      <c r="AL54" s="164">
        <f>VLOOKUP(AA54,'FY 2005 TABLE 15'!$A$11:$M$148,7,FALSE)-AD54</f>
        <v>-4.72578183234873E-05</v>
      </c>
      <c r="AM54" s="164">
        <f>VLOOKUP(AA54,'FY 2005 TABLE 15'!$A$11:$M$148,10,FALSE)-AE54</f>
        <v>0</v>
      </c>
      <c r="AN54" s="164">
        <f>VLOOKUP(AA54,'FY 2005 TABLE 15'!$A$11:$M$148,11,FALSE)-AF54</f>
        <v>4.47447976625881E-06</v>
      </c>
      <c r="AO54" s="164">
        <f>VLOOKUP(AA54,'FY 2005 TABLE 15'!$A$11:$M$148,4,FALSE)-AG54</f>
        <v>0</v>
      </c>
      <c r="AP54" s="164">
        <f>VLOOKUP(AA54,'FY 2005 TABLE 15'!$A$11:$M$148,5,FALSE)-AH54</f>
        <v>-1.8566806829767302E-06</v>
      </c>
      <c r="AQ54" s="164">
        <f>VLOOKUP(AA54,'FY 2005 TABLE 15'!$A$11:$M$148,12,FALSE)-AI54</f>
        <v>0</v>
      </c>
      <c r="AR54" s="165">
        <f>VLOOKUP(AA54,'FY 2005 TABLE 15'!$A$11:$M$148,13,FALSE)-AJ54</f>
        <v>4.8831630920176394E-05</v>
      </c>
    </row>
    <row r="55" spans="1:44" ht="15">
      <c r="A55" s="59"/>
      <c r="B55" s="59"/>
      <c r="C55" s="59"/>
      <c r="D55" s="59"/>
      <c r="E55" s="59"/>
      <c r="F55" s="59"/>
      <c r="G55" s="59"/>
      <c r="H55" s="59"/>
      <c r="I55" s="155"/>
      <c r="J55" s="82"/>
      <c r="K55" s="58"/>
      <c r="L55" s="58"/>
      <c r="M55" s="58"/>
      <c r="N55" s="58"/>
      <c r="O55" s="58"/>
      <c r="P55" s="58"/>
      <c r="Q55" s="58"/>
      <c r="R55" s="58"/>
      <c r="S55" s="58"/>
      <c r="T55" s="58"/>
      <c r="U55" s="58"/>
      <c r="V55" s="58"/>
      <c r="W55" s="58"/>
      <c r="X55" s="58"/>
      <c r="Y55" s="58"/>
      <c r="Z55" s="58"/>
      <c r="AA55" s="113">
        <v>54</v>
      </c>
      <c r="AB55" s="114" t="s">
        <v>355</v>
      </c>
      <c r="AC55" s="115">
        <v>10131620.030000001</v>
      </c>
      <c r="AD55" s="115">
        <v>2359.2248</v>
      </c>
      <c r="AE55" s="115">
        <v>2487138.81</v>
      </c>
      <c r="AF55" s="115">
        <v>579.1492</v>
      </c>
      <c r="AG55" s="115">
        <v>19428351.82000002</v>
      </c>
      <c r="AH55" s="115">
        <v>4524.0395</v>
      </c>
      <c r="AI55" s="115">
        <v>35915606.94000002</v>
      </c>
      <c r="AJ55" s="115">
        <v>8363.2222</v>
      </c>
      <c r="AK55" s="164">
        <f>VLOOKUP(AA55,'FY 2005 TABLE 15'!$A$11:$M$148,6,FALSE)-AC55</f>
        <v>0</v>
      </c>
      <c r="AL55" s="164">
        <f>VLOOKUP(AA55,'FY 2005 TABLE 15'!$A$11:$M$148,7,FALSE)-AD55</f>
        <v>-2.2553655981027987E-05</v>
      </c>
      <c r="AM55" s="164">
        <f>VLOOKUP(AA55,'FY 2005 TABLE 15'!$A$11:$M$148,10,FALSE)-AE55</f>
        <v>0</v>
      </c>
      <c r="AN55" s="164">
        <f>VLOOKUP(AA55,'FY 2005 TABLE 15'!$A$11:$M$148,11,FALSE)-AF55</f>
        <v>-1.278947104310646E-05</v>
      </c>
      <c r="AO55" s="164">
        <f>VLOOKUP(AA55,'FY 2005 TABLE 15'!$A$11:$M$148,4,FALSE)-AG55</f>
        <v>0</v>
      </c>
      <c r="AP55" s="164">
        <f>VLOOKUP(AA55,'FY 2005 TABLE 15'!$A$11:$M$148,5,FALSE)-AH55</f>
        <v>-2.1321602616808377E-05</v>
      </c>
      <c r="AQ55" s="164">
        <f>VLOOKUP(AA55,'FY 2005 TABLE 15'!$A$11:$M$148,12,FALSE)-AI55</f>
        <v>0</v>
      </c>
      <c r="AR55" s="165">
        <f>VLOOKUP(AA55,'FY 2005 TABLE 15'!$A$11:$M$148,13,FALSE)-AJ55</f>
        <v>2.2998417989583686E-05</v>
      </c>
    </row>
    <row r="56" spans="1:44" ht="15">
      <c r="A56" s="59"/>
      <c r="B56" s="59"/>
      <c r="C56" s="59"/>
      <c r="D56" s="59"/>
      <c r="E56" s="59"/>
      <c r="F56" s="59"/>
      <c r="G56" s="59"/>
      <c r="H56" s="59"/>
      <c r="I56" s="155"/>
      <c r="J56" s="82"/>
      <c r="K56" s="58"/>
      <c r="L56" s="58"/>
      <c r="M56" s="58"/>
      <c r="N56" s="58"/>
      <c r="O56" s="58"/>
      <c r="P56" s="58"/>
      <c r="Q56" s="58"/>
      <c r="R56" s="58"/>
      <c r="S56" s="58"/>
      <c r="T56" s="58"/>
      <c r="U56" s="58"/>
      <c r="V56" s="58"/>
      <c r="W56" s="58"/>
      <c r="X56" s="58"/>
      <c r="Y56" s="58"/>
      <c r="Z56" s="58"/>
      <c r="AA56" s="113">
        <v>55</v>
      </c>
      <c r="AB56" s="114" t="s">
        <v>356</v>
      </c>
      <c r="AC56" s="115">
        <v>8102593.1499999985</v>
      </c>
      <c r="AD56" s="115">
        <v>4740.1604</v>
      </c>
      <c r="AE56" s="115">
        <v>1588521.59</v>
      </c>
      <c r="AF56" s="115">
        <v>929.3132</v>
      </c>
      <c r="AG56" s="115">
        <v>3801500.04</v>
      </c>
      <c r="AH56" s="115">
        <v>2223.9448</v>
      </c>
      <c r="AI56" s="115">
        <v>15090377.92</v>
      </c>
      <c r="AJ56" s="115">
        <v>8828.1381</v>
      </c>
      <c r="AK56" s="164">
        <f>VLOOKUP(AA56,'FY 2005 TABLE 15'!$A$11:$M$148,6,FALSE)-AC56</f>
        <v>0</v>
      </c>
      <c r="AL56" s="164">
        <f>VLOOKUP(AA56,'FY 2005 TABLE 15'!$A$11:$M$148,7,FALSE)-AD56</f>
        <v>-1.7398426280124113E-05</v>
      </c>
      <c r="AM56" s="164">
        <f>VLOOKUP(AA56,'FY 2005 TABLE 15'!$A$11:$M$148,10,FALSE)-AE56</f>
        <v>0</v>
      </c>
      <c r="AN56" s="164">
        <f>VLOOKUP(AA56,'FY 2005 TABLE 15'!$A$11:$M$148,11,FALSE)-AF56</f>
        <v>4.187556680790294E-05</v>
      </c>
      <c r="AO56" s="164">
        <f>VLOOKUP(AA56,'FY 2005 TABLE 15'!$A$11:$M$148,4,FALSE)-AG56</f>
        <v>0</v>
      </c>
      <c r="AP56" s="164">
        <f>VLOOKUP(AA56,'FY 2005 TABLE 15'!$A$11:$M$148,5,FALSE)-AH56</f>
        <v>-2.2698682187183294E-06</v>
      </c>
      <c r="AQ56" s="164">
        <f>VLOOKUP(AA56,'FY 2005 TABLE 15'!$A$11:$M$148,12,FALSE)-AI56</f>
        <v>0</v>
      </c>
      <c r="AR56" s="165">
        <f>VLOOKUP(AA56,'FY 2005 TABLE 15'!$A$11:$M$148,13,FALSE)-AJ56</f>
        <v>3.4378565032966435E-05</v>
      </c>
    </row>
    <row r="57" spans="1:44" ht="15">
      <c r="A57" s="59"/>
      <c r="B57" s="59"/>
      <c r="C57" s="59"/>
      <c r="D57" s="59"/>
      <c r="E57" s="59"/>
      <c r="F57" s="59"/>
      <c r="G57" s="59"/>
      <c r="H57" s="59"/>
      <c r="I57" s="155"/>
      <c r="J57" s="82"/>
      <c r="K57" s="58"/>
      <c r="L57" s="58"/>
      <c r="M57" s="58"/>
      <c r="N57" s="58"/>
      <c r="O57" s="58"/>
      <c r="P57" s="58"/>
      <c r="Q57" s="58"/>
      <c r="R57" s="58"/>
      <c r="S57" s="58"/>
      <c r="T57" s="58"/>
      <c r="U57" s="58"/>
      <c r="V57" s="58"/>
      <c r="W57" s="58"/>
      <c r="X57" s="58"/>
      <c r="Y57" s="58"/>
      <c r="Z57" s="58"/>
      <c r="AA57" s="113">
        <v>56</v>
      </c>
      <c r="AB57" s="114" t="s">
        <v>357</v>
      </c>
      <c r="AC57" s="115">
        <v>6292376.1499999985</v>
      </c>
      <c r="AD57" s="115">
        <v>3439.9231</v>
      </c>
      <c r="AE57" s="115">
        <v>921772.02</v>
      </c>
      <c r="AF57" s="115">
        <v>503.9153</v>
      </c>
      <c r="AG57" s="115">
        <v>6313128.949999999</v>
      </c>
      <c r="AH57" s="115">
        <v>3451.2683</v>
      </c>
      <c r="AI57" s="115">
        <v>15200596.119999997</v>
      </c>
      <c r="AJ57" s="115">
        <v>8309.8786</v>
      </c>
      <c r="AK57" s="164">
        <f>VLOOKUP(AA57,'FY 2005 TABLE 15'!$A$11:$M$148,6,FALSE)-AC57</f>
        <v>0</v>
      </c>
      <c r="AL57" s="164">
        <f>VLOOKUP(AA57,'FY 2005 TABLE 15'!$A$11:$M$148,7,FALSE)-AD57</f>
        <v>9.303418210038217E-06</v>
      </c>
      <c r="AM57" s="164">
        <f>VLOOKUP(AA57,'FY 2005 TABLE 15'!$A$11:$M$148,10,FALSE)-AE57</f>
        <v>0</v>
      </c>
      <c r="AN57" s="164">
        <f>VLOOKUP(AA57,'FY 2005 TABLE 15'!$A$11:$M$148,11,FALSE)-AF57</f>
        <v>4.096500146033577E-05</v>
      </c>
      <c r="AO57" s="164">
        <f>VLOOKUP(AA57,'FY 2005 TABLE 15'!$A$11:$M$148,4,FALSE)-AG57</f>
        <v>0</v>
      </c>
      <c r="AP57" s="164">
        <f>VLOOKUP(AA57,'FY 2005 TABLE 15'!$A$11:$M$148,5,FALSE)-AH57</f>
        <v>-2.718426503633964E-05</v>
      </c>
      <c r="AQ57" s="164">
        <f>VLOOKUP(AA57,'FY 2005 TABLE 15'!$A$11:$M$148,12,FALSE)-AI57</f>
        <v>0</v>
      </c>
      <c r="AR57" s="165">
        <f>VLOOKUP(AA57,'FY 2005 TABLE 15'!$A$11:$M$148,13,FALSE)-AJ57</f>
        <v>-6.93847869115416E-06</v>
      </c>
    </row>
    <row r="58" spans="1:44" ht="15">
      <c r="A58" s="59"/>
      <c r="B58" s="59"/>
      <c r="C58" s="59"/>
      <c r="D58" s="59"/>
      <c r="E58" s="59"/>
      <c r="F58" s="59"/>
      <c r="G58" s="59"/>
      <c r="H58" s="59"/>
      <c r="I58" s="155"/>
      <c r="J58" s="82"/>
      <c r="K58" s="58"/>
      <c r="L58" s="58"/>
      <c r="M58" s="58"/>
      <c r="N58" s="58"/>
      <c r="O58" s="58"/>
      <c r="P58" s="58"/>
      <c r="Q58" s="58"/>
      <c r="R58" s="58"/>
      <c r="S58" s="58"/>
      <c r="T58" s="58"/>
      <c r="U58" s="58"/>
      <c r="V58" s="58"/>
      <c r="W58" s="58"/>
      <c r="X58" s="58"/>
      <c r="Y58" s="58"/>
      <c r="Z58" s="58"/>
      <c r="AA58" s="113">
        <v>57</v>
      </c>
      <c r="AB58" s="114" t="s">
        <v>358</v>
      </c>
      <c r="AC58" s="115">
        <v>4388871.19</v>
      </c>
      <c r="AD58" s="115">
        <v>3455.6136</v>
      </c>
      <c r="AE58" s="115">
        <v>708782.8</v>
      </c>
      <c r="AF58" s="115">
        <v>558.0659</v>
      </c>
      <c r="AG58" s="115">
        <v>3970771.0099999914</v>
      </c>
      <c r="AH58" s="115">
        <v>3126.419</v>
      </c>
      <c r="AI58" s="115">
        <v>10138683.699999992</v>
      </c>
      <c r="AJ58" s="115">
        <v>7982.7755</v>
      </c>
      <c r="AK58" s="164">
        <f>VLOOKUP(AA58,'FY 2005 TABLE 15'!$A$11:$M$148,6,FALSE)-AC58</f>
        <v>0</v>
      </c>
      <c r="AL58" s="164">
        <f>VLOOKUP(AA58,'FY 2005 TABLE 15'!$A$11:$M$148,7,FALSE)-AD58</f>
        <v>1.9721747776202392E-05</v>
      </c>
      <c r="AM58" s="164">
        <f>VLOOKUP(AA58,'FY 2005 TABLE 15'!$A$11:$M$148,10,FALSE)-AE58</f>
        <v>0</v>
      </c>
      <c r="AN58" s="164">
        <f>VLOOKUP(AA58,'FY 2005 TABLE 15'!$A$11:$M$148,11,FALSE)-AF58</f>
        <v>3.337375108003471E-05</v>
      </c>
      <c r="AO58" s="164">
        <f>VLOOKUP(AA58,'FY 2005 TABLE 15'!$A$11:$M$148,4,FALSE)-AG58</f>
        <v>0</v>
      </c>
      <c r="AP58" s="164">
        <f>VLOOKUP(AA58,'FY 2005 TABLE 15'!$A$11:$M$148,5,FALSE)-AH58</f>
        <v>2.4148268039425602E-05</v>
      </c>
      <c r="AQ58" s="164">
        <f>VLOOKUP(AA58,'FY 2005 TABLE 15'!$A$11:$M$148,12,FALSE)-AI58</f>
        <v>0</v>
      </c>
      <c r="AR58" s="165">
        <f>VLOOKUP(AA58,'FY 2005 TABLE 15'!$A$11:$M$148,13,FALSE)-AJ58</f>
        <v>1.6310118553519715E-05</v>
      </c>
    </row>
    <row r="59" spans="1:44" ht="15">
      <c r="A59" s="59"/>
      <c r="B59" s="59"/>
      <c r="C59" s="59"/>
      <c r="D59" s="59"/>
      <c r="E59" s="59"/>
      <c r="F59" s="59"/>
      <c r="G59" s="59"/>
      <c r="H59" s="59"/>
      <c r="I59" s="155"/>
      <c r="J59" s="82"/>
      <c r="K59" s="58"/>
      <c r="L59" s="58"/>
      <c r="M59" s="58"/>
      <c r="N59" s="58"/>
      <c r="O59" s="58"/>
      <c r="P59" s="58"/>
      <c r="Q59" s="58"/>
      <c r="R59" s="58"/>
      <c r="S59" s="58"/>
      <c r="T59" s="58"/>
      <c r="U59" s="58"/>
      <c r="V59" s="58"/>
      <c r="W59" s="58"/>
      <c r="X59" s="58"/>
      <c r="Y59" s="58"/>
      <c r="Z59" s="58"/>
      <c r="AA59" s="113">
        <v>58</v>
      </c>
      <c r="AB59" s="114" t="s">
        <v>359</v>
      </c>
      <c r="AC59" s="115">
        <v>20437901.64</v>
      </c>
      <c r="AD59" s="115">
        <v>4260.7544</v>
      </c>
      <c r="AE59" s="115">
        <v>4059635.26</v>
      </c>
      <c r="AF59" s="115">
        <v>846.3251</v>
      </c>
      <c r="AG59" s="115">
        <v>9094026.109999986</v>
      </c>
      <c r="AH59" s="115">
        <v>1895.8606</v>
      </c>
      <c r="AI59" s="115">
        <v>37379058.84999999</v>
      </c>
      <c r="AJ59" s="115">
        <v>7792.5314</v>
      </c>
      <c r="AK59" s="164">
        <f>VLOOKUP(AA59,'FY 2005 TABLE 15'!$A$11:$M$148,6,FALSE)-AC59</f>
        <v>0</v>
      </c>
      <c r="AL59" s="164">
        <f>VLOOKUP(AA59,'FY 2005 TABLE 15'!$A$11:$M$148,7,FALSE)-AD59</f>
        <v>3.109752833552193E-05</v>
      </c>
      <c r="AM59" s="164">
        <f>VLOOKUP(AA59,'FY 2005 TABLE 15'!$A$11:$M$148,10,FALSE)-AE59</f>
        <v>0</v>
      </c>
      <c r="AN59" s="164">
        <f>VLOOKUP(AA59,'FY 2005 TABLE 15'!$A$11:$M$148,11,FALSE)-AF59</f>
        <v>-1.1086186987085966E-05</v>
      </c>
      <c r="AO59" s="164">
        <f>VLOOKUP(AA59,'FY 2005 TABLE 15'!$A$11:$M$148,4,FALSE)-AG59</f>
        <v>0</v>
      </c>
      <c r="AP59" s="164">
        <f>VLOOKUP(AA59,'FY 2005 TABLE 15'!$A$11:$M$148,5,FALSE)-AH59</f>
        <v>-2.0611329091480002E-05</v>
      </c>
      <c r="AQ59" s="164">
        <f>VLOOKUP(AA59,'FY 2005 TABLE 15'!$A$11:$M$148,12,FALSE)-AI59</f>
        <v>0</v>
      </c>
      <c r="AR59" s="165">
        <f>VLOOKUP(AA59,'FY 2005 TABLE 15'!$A$11:$M$148,13,FALSE)-AJ59</f>
        <v>1.6908840734686237E-05</v>
      </c>
    </row>
    <row r="60" spans="1:44" ht="15">
      <c r="A60" s="59"/>
      <c r="B60" s="59"/>
      <c r="C60" s="59"/>
      <c r="D60" s="59"/>
      <c r="E60" s="59"/>
      <c r="F60" s="59"/>
      <c r="G60" s="59"/>
      <c r="H60" s="59"/>
      <c r="I60" s="155"/>
      <c r="J60" s="82"/>
      <c r="K60" s="58"/>
      <c r="L60" s="58"/>
      <c r="M60" s="58"/>
      <c r="N60" s="58"/>
      <c r="O60" s="58"/>
      <c r="P60" s="58"/>
      <c r="Q60" s="58"/>
      <c r="R60" s="58"/>
      <c r="S60" s="58"/>
      <c r="T60" s="58"/>
      <c r="U60" s="58"/>
      <c r="V60" s="58"/>
      <c r="W60" s="58"/>
      <c r="X60" s="58"/>
      <c r="Y60" s="58"/>
      <c r="Z60" s="58"/>
      <c r="AA60" s="113">
        <v>59</v>
      </c>
      <c r="AB60" s="114" t="s">
        <v>360</v>
      </c>
      <c r="AC60" s="115">
        <v>3790747.59</v>
      </c>
      <c r="AD60" s="115">
        <v>2916.4308</v>
      </c>
      <c r="AE60" s="115">
        <v>986445.57</v>
      </c>
      <c r="AF60" s="115">
        <v>758.9269</v>
      </c>
      <c r="AG60" s="115">
        <v>5075922.72</v>
      </c>
      <c r="AH60" s="115">
        <v>3905.1868</v>
      </c>
      <c r="AI60" s="115">
        <v>11010021.160000002</v>
      </c>
      <c r="AJ60" s="115">
        <v>8470.6154</v>
      </c>
      <c r="AK60" s="164">
        <f>VLOOKUP(AA60,'FY 2005 TABLE 15'!$A$11:$M$148,6,FALSE)-AC60</f>
        <v>0</v>
      </c>
      <c r="AL60" s="164">
        <f>VLOOKUP(AA60,'FY 2005 TABLE 15'!$A$11:$M$148,7,FALSE)-AD60</f>
        <v>3.60058038495481E-07</v>
      </c>
      <c r="AM60" s="164">
        <f>VLOOKUP(AA60,'FY 2005 TABLE 15'!$A$11:$M$148,10,FALSE)-AE60</f>
        <v>0</v>
      </c>
      <c r="AN60" s="164">
        <f>VLOOKUP(AA60,'FY 2005 TABLE 15'!$A$11:$M$148,11,FALSE)-AF60</f>
        <v>-1.9503919929775293E-05</v>
      </c>
      <c r="AO60" s="164">
        <f>VLOOKUP(AA60,'FY 2005 TABLE 15'!$A$11:$M$148,4,FALSE)-AG60</f>
        <v>0</v>
      </c>
      <c r="AP60" s="164">
        <f>VLOOKUP(AA60,'FY 2005 TABLE 15'!$A$11:$M$148,5,FALSE)-AH60</f>
        <v>-2.3674591375311138E-05</v>
      </c>
      <c r="AQ60" s="164">
        <f>VLOOKUP(AA60,'FY 2005 TABLE 15'!$A$11:$M$148,12,FALSE)-AI60</f>
        <v>0</v>
      </c>
      <c r="AR60" s="165">
        <f>VLOOKUP(AA60,'FY 2005 TABLE 15'!$A$11:$M$148,13,FALSE)-AJ60</f>
        <v>-2.366997614444699E-05</v>
      </c>
    </row>
    <row r="61" spans="1:44" ht="15">
      <c r="A61" s="59"/>
      <c r="B61" s="59"/>
      <c r="C61" s="59"/>
      <c r="D61" s="59"/>
      <c r="E61" s="59"/>
      <c r="F61" s="59"/>
      <c r="G61" s="59"/>
      <c r="H61" s="59"/>
      <c r="I61" s="155"/>
      <c r="J61" s="82"/>
      <c r="K61" s="58"/>
      <c r="L61" s="58"/>
      <c r="M61" s="58"/>
      <c r="N61" s="58"/>
      <c r="O61" s="58"/>
      <c r="P61" s="58"/>
      <c r="Q61" s="58"/>
      <c r="R61" s="58"/>
      <c r="S61" s="58"/>
      <c r="T61" s="58"/>
      <c r="U61" s="58"/>
      <c r="V61" s="58"/>
      <c r="W61" s="58"/>
      <c r="X61" s="58"/>
      <c r="Y61" s="58"/>
      <c r="Z61" s="58"/>
      <c r="AA61" s="113">
        <v>60</v>
      </c>
      <c r="AB61" s="114" t="s">
        <v>361</v>
      </c>
      <c r="AC61" s="115">
        <v>32068513.359999996</v>
      </c>
      <c r="AD61" s="115">
        <v>3441.411</v>
      </c>
      <c r="AE61" s="115">
        <v>5982793.41</v>
      </c>
      <c r="AF61" s="115">
        <v>642.0395</v>
      </c>
      <c r="AG61" s="115">
        <v>31840619.539999936</v>
      </c>
      <c r="AH61" s="115">
        <v>3416.9548</v>
      </c>
      <c r="AI61" s="115">
        <v>78539949.34999993</v>
      </c>
      <c r="AJ61" s="115">
        <v>8428.4621</v>
      </c>
      <c r="AK61" s="164">
        <f>VLOOKUP(AA61,'FY 2005 TABLE 15'!$A$11:$M$148,6,FALSE)-AC61</f>
        <v>0</v>
      </c>
      <c r="AL61" s="164">
        <f>VLOOKUP(AA61,'FY 2005 TABLE 15'!$A$11:$M$148,7,FALSE)-AD61</f>
        <v>2.890833366109291E-05</v>
      </c>
      <c r="AM61" s="164">
        <f>VLOOKUP(AA61,'FY 2005 TABLE 15'!$A$11:$M$148,10,FALSE)-AE61</f>
        <v>0</v>
      </c>
      <c r="AN61" s="164">
        <f>VLOOKUP(AA61,'FY 2005 TABLE 15'!$A$11:$M$148,11,FALSE)-AF61</f>
        <v>-3.300881473933259E-05</v>
      </c>
      <c r="AO61" s="164">
        <f>VLOOKUP(AA61,'FY 2005 TABLE 15'!$A$11:$M$148,4,FALSE)-AG61</f>
        <v>0</v>
      </c>
      <c r="AP61" s="164">
        <f>VLOOKUP(AA61,'FY 2005 TABLE 15'!$A$11:$M$148,5,FALSE)-AH61</f>
        <v>-4.372158127807779E-05</v>
      </c>
      <c r="AQ61" s="164">
        <f>VLOOKUP(AA61,'FY 2005 TABLE 15'!$A$11:$M$148,12,FALSE)-AI61</f>
        <v>0</v>
      </c>
      <c r="AR61" s="165">
        <f>VLOOKUP(AA61,'FY 2005 TABLE 15'!$A$11:$M$148,13,FALSE)-AJ61</f>
        <v>-4.8493422582396306E-05</v>
      </c>
    </row>
    <row r="62" spans="1:44" ht="15">
      <c r="A62" s="59"/>
      <c r="B62" s="59"/>
      <c r="C62" s="59"/>
      <c r="D62" s="59"/>
      <c r="E62" s="59"/>
      <c r="F62" s="59"/>
      <c r="G62" s="59"/>
      <c r="H62" s="59"/>
      <c r="I62" s="155"/>
      <c r="J62" s="82"/>
      <c r="K62" s="58"/>
      <c r="L62" s="58"/>
      <c r="M62" s="58"/>
      <c r="N62" s="58"/>
      <c r="O62" s="58"/>
      <c r="P62" s="58"/>
      <c r="Q62" s="58"/>
      <c r="R62" s="58"/>
      <c r="S62" s="58"/>
      <c r="T62" s="58"/>
      <c r="U62" s="58"/>
      <c r="V62" s="58"/>
      <c r="W62" s="58"/>
      <c r="X62" s="58"/>
      <c r="Y62" s="58"/>
      <c r="Z62" s="58"/>
      <c r="AA62" s="113">
        <v>62</v>
      </c>
      <c r="AB62" s="114" t="s">
        <v>362</v>
      </c>
      <c r="AC62" s="115">
        <v>6600725.86</v>
      </c>
      <c r="AD62" s="115">
        <v>3294.6303</v>
      </c>
      <c r="AE62" s="115">
        <v>1660658.6</v>
      </c>
      <c r="AF62" s="115">
        <v>828.887</v>
      </c>
      <c r="AG62" s="115">
        <v>8502596.91</v>
      </c>
      <c r="AH62" s="115">
        <v>4243.914</v>
      </c>
      <c r="AI62" s="115">
        <v>18649514.13</v>
      </c>
      <c r="AJ62" s="115">
        <v>9308.5602</v>
      </c>
      <c r="AK62" s="164">
        <f>VLOOKUP(AA62,'FY 2005 TABLE 15'!$A$11:$M$148,6,FALSE)-AC62</f>
        <v>0</v>
      </c>
      <c r="AL62" s="164">
        <f>VLOOKUP(AA62,'FY 2005 TABLE 15'!$A$11:$M$148,7,FALSE)-AD62</f>
        <v>-2.667558419489069E-05</v>
      </c>
      <c r="AM62" s="164">
        <f>VLOOKUP(AA62,'FY 2005 TABLE 15'!$A$11:$M$148,10,FALSE)-AE62</f>
        <v>0</v>
      </c>
      <c r="AN62" s="164">
        <f>VLOOKUP(AA62,'FY 2005 TABLE 15'!$A$11:$M$148,11,FALSE)-AF62</f>
        <v>3.655639193311799E-05</v>
      </c>
      <c r="AO62" s="164">
        <f>VLOOKUP(AA62,'FY 2005 TABLE 15'!$A$11:$M$148,4,FALSE)-AG62</f>
        <v>0</v>
      </c>
      <c r="AP62" s="164">
        <f>VLOOKUP(AA62,'FY 2005 TABLE 15'!$A$11:$M$148,5,FALSE)-AH62</f>
        <v>4.4562460061570164E-05</v>
      </c>
      <c r="AQ62" s="164">
        <f>VLOOKUP(AA62,'FY 2005 TABLE 15'!$A$11:$M$148,12,FALSE)-AI62</f>
        <v>0</v>
      </c>
      <c r="AR62" s="165">
        <f>VLOOKUP(AA62,'FY 2005 TABLE 15'!$A$11:$M$148,13,FALSE)-AJ62</f>
        <v>-2.9696328056161292E-05</v>
      </c>
    </row>
    <row r="63" spans="1:44" ht="15">
      <c r="A63" s="59"/>
      <c r="B63" s="59"/>
      <c r="C63" s="59"/>
      <c r="D63" s="59"/>
      <c r="E63" s="59"/>
      <c r="F63" s="59"/>
      <c r="G63" s="59"/>
      <c r="H63" s="59"/>
      <c r="I63" s="155"/>
      <c r="J63" s="82"/>
      <c r="K63" s="58"/>
      <c r="L63" s="58"/>
      <c r="M63" s="58"/>
      <c r="N63" s="58"/>
      <c r="O63" s="58"/>
      <c r="P63" s="58"/>
      <c r="Q63" s="58"/>
      <c r="R63" s="58"/>
      <c r="S63" s="58"/>
      <c r="T63" s="58"/>
      <c r="U63" s="58"/>
      <c r="V63" s="58"/>
      <c r="W63" s="58"/>
      <c r="X63" s="58"/>
      <c r="Y63" s="58"/>
      <c r="Z63" s="58"/>
      <c r="AA63" s="113">
        <v>63</v>
      </c>
      <c r="AB63" s="114" t="s">
        <v>363</v>
      </c>
      <c r="AC63" s="115">
        <v>8183313.62</v>
      </c>
      <c r="AD63" s="115">
        <v>3210.2253</v>
      </c>
      <c r="AE63" s="115">
        <v>929783.01</v>
      </c>
      <c r="AF63" s="115">
        <v>364.7438</v>
      </c>
      <c r="AG63" s="115">
        <v>8522281.639999976</v>
      </c>
      <c r="AH63" s="115">
        <v>3343.1987</v>
      </c>
      <c r="AI63" s="115">
        <v>19800849.88999998</v>
      </c>
      <c r="AJ63" s="115">
        <v>7767.6589</v>
      </c>
      <c r="AK63" s="164">
        <f>VLOOKUP(AA63,'FY 2005 TABLE 15'!$A$11:$M$148,6,FALSE)-AC63</f>
        <v>0</v>
      </c>
      <c r="AL63" s="164">
        <f>VLOOKUP(AA63,'FY 2005 TABLE 15'!$A$11:$M$148,7,FALSE)-AD63</f>
        <v>-3.971613932662876E-05</v>
      </c>
      <c r="AM63" s="164">
        <f>VLOOKUP(AA63,'FY 2005 TABLE 15'!$A$11:$M$148,10,FALSE)-AE63</f>
        <v>0</v>
      </c>
      <c r="AN63" s="164">
        <f>VLOOKUP(AA63,'FY 2005 TABLE 15'!$A$11:$M$148,11,FALSE)-AF63</f>
        <v>-1.302399823543965E-07</v>
      </c>
      <c r="AO63" s="164">
        <f>VLOOKUP(AA63,'FY 2005 TABLE 15'!$A$11:$M$148,4,FALSE)-AG63</f>
        <v>0</v>
      </c>
      <c r="AP63" s="164">
        <f>VLOOKUP(AA63,'FY 2005 TABLE 15'!$A$11:$M$148,5,FALSE)-AH63</f>
        <v>4.1536351545801153E-05</v>
      </c>
      <c r="AQ63" s="164">
        <f>VLOOKUP(AA63,'FY 2005 TABLE 15'!$A$11:$M$148,12,FALSE)-AI63</f>
        <v>0</v>
      </c>
      <c r="AR63" s="165">
        <f>VLOOKUP(AA63,'FY 2005 TABLE 15'!$A$11:$M$148,13,FALSE)-AJ63</f>
        <v>-4.6425861910392996E-05</v>
      </c>
    </row>
    <row r="64" spans="1:44" ht="15">
      <c r="A64" s="59"/>
      <c r="B64" s="59"/>
      <c r="C64" s="59"/>
      <c r="D64" s="59"/>
      <c r="E64" s="59"/>
      <c r="F64" s="59"/>
      <c r="G64" s="59"/>
      <c r="H64" s="59"/>
      <c r="I64" s="155"/>
      <c r="J64" s="82"/>
      <c r="K64" s="58"/>
      <c r="L64" s="58"/>
      <c r="M64" s="58"/>
      <c r="N64" s="58"/>
      <c r="O64" s="58"/>
      <c r="P64" s="58"/>
      <c r="Q64" s="58"/>
      <c r="R64" s="58"/>
      <c r="S64" s="58"/>
      <c r="T64" s="58"/>
      <c r="U64" s="58"/>
      <c r="V64" s="58"/>
      <c r="W64" s="58"/>
      <c r="X64" s="58"/>
      <c r="Y64" s="58"/>
      <c r="Z64" s="58"/>
      <c r="AA64" s="113">
        <v>65</v>
      </c>
      <c r="AB64" s="114" t="s">
        <v>364</v>
      </c>
      <c r="AC64" s="115">
        <v>8158536.460000001</v>
      </c>
      <c r="AD64" s="115">
        <v>4209.315</v>
      </c>
      <c r="AE64" s="115">
        <v>2537075.74</v>
      </c>
      <c r="AF64" s="115">
        <v>1308.9788</v>
      </c>
      <c r="AG64" s="115">
        <v>6199389.490000008</v>
      </c>
      <c r="AH64" s="115">
        <v>3198.5128</v>
      </c>
      <c r="AI64" s="115">
        <v>18746466.05000001</v>
      </c>
      <c r="AJ64" s="115">
        <v>9672.051</v>
      </c>
      <c r="AK64" s="164">
        <f>VLOOKUP(AA64,'FY 2005 TABLE 15'!$A$11:$M$148,6,FALSE)-AC64</f>
        <v>0</v>
      </c>
      <c r="AL64" s="164">
        <f>VLOOKUP(AA64,'FY 2005 TABLE 15'!$A$11:$M$148,7,FALSE)-AD64</f>
        <v>1.7464568372815847E-05</v>
      </c>
      <c r="AM64" s="164">
        <f>VLOOKUP(AA64,'FY 2005 TABLE 15'!$A$11:$M$148,10,FALSE)-AE64</f>
        <v>0</v>
      </c>
      <c r="AN64" s="164">
        <f>VLOOKUP(AA64,'FY 2005 TABLE 15'!$A$11:$M$148,11,FALSE)-AF64</f>
        <v>-3.092956899308774E-05</v>
      </c>
      <c r="AO64" s="164">
        <f>VLOOKUP(AA64,'FY 2005 TABLE 15'!$A$11:$M$148,4,FALSE)-AG64</f>
        <v>0</v>
      </c>
      <c r="AP64" s="164">
        <f>VLOOKUP(AA64,'FY 2005 TABLE 15'!$A$11:$M$148,5,FALSE)-AH64</f>
        <v>-2.1091586859256495E-06</v>
      </c>
      <c r="AQ64" s="164">
        <f>VLOOKUP(AA64,'FY 2005 TABLE 15'!$A$11:$M$148,12,FALSE)-AI64</f>
        <v>0</v>
      </c>
      <c r="AR64" s="165">
        <f>VLOOKUP(AA64,'FY 2005 TABLE 15'!$A$11:$M$148,13,FALSE)-AJ64</f>
        <v>4.194076427666005E-05</v>
      </c>
    </row>
    <row r="65" spans="1:44" s="84" customFormat="1" ht="15">
      <c r="A65" s="59"/>
      <c r="B65" s="59"/>
      <c r="C65" s="59"/>
      <c r="D65" s="59"/>
      <c r="E65" s="59"/>
      <c r="F65" s="59"/>
      <c r="G65" s="59"/>
      <c r="H65" s="59"/>
      <c r="I65" s="155"/>
      <c r="J65" s="82"/>
      <c r="K65" s="58"/>
      <c r="L65" s="58"/>
      <c r="M65" s="58"/>
      <c r="N65" s="58"/>
      <c r="O65" s="58"/>
      <c r="P65" s="58"/>
      <c r="Q65" s="58"/>
      <c r="R65" s="58"/>
      <c r="S65" s="58"/>
      <c r="T65" s="58"/>
      <c r="U65" s="58"/>
      <c r="V65" s="58"/>
      <c r="W65" s="58"/>
      <c r="X65" s="58"/>
      <c r="Y65" s="58"/>
      <c r="Z65" s="58"/>
      <c r="AA65" s="113">
        <v>66</v>
      </c>
      <c r="AB65" s="114" t="s">
        <v>365</v>
      </c>
      <c r="AC65" s="115">
        <v>3285433.89</v>
      </c>
      <c r="AD65" s="115">
        <v>2295.0507</v>
      </c>
      <c r="AE65" s="115">
        <v>1142733.45</v>
      </c>
      <c r="AF65" s="115">
        <v>798.2602</v>
      </c>
      <c r="AG65" s="115">
        <v>6791827.239999997</v>
      </c>
      <c r="AH65" s="115">
        <v>4744.4533</v>
      </c>
      <c r="AI65" s="115">
        <v>12448745.079999998</v>
      </c>
      <c r="AJ65" s="115">
        <v>8696.1119</v>
      </c>
      <c r="AK65" s="164">
        <f>VLOOKUP(AA65,'FY 2005 TABLE 15'!$A$11:$M$148,6,FALSE)-AC65</f>
        <v>0</v>
      </c>
      <c r="AL65" s="164">
        <f>VLOOKUP(AA65,'FY 2005 TABLE 15'!$A$11:$M$148,7,FALSE)-AD65</f>
        <v>-2.694389877433423E-05</v>
      </c>
      <c r="AM65" s="164">
        <f>VLOOKUP(AA65,'FY 2005 TABLE 15'!$A$11:$M$148,10,FALSE)-AE65</f>
        <v>0</v>
      </c>
      <c r="AN65" s="164">
        <f>VLOOKUP(AA65,'FY 2005 TABLE 15'!$A$11:$M$148,11,FALSE)-AF65</f>
        <v>1.8088338947563898E-05</v>
      </c>
      <c r="AO65" s="164">
        <f>VLOOKUP(AA65,'FY 2005 TABLE 15'!$A$11:$M$148,4,FALSE)-AG65</f>
        <v>0</v>
      </c>
      <c r="AP65" s="164">
        <f>VLOOKUP(AA65,'FY 2005 TABLE 15'!$A$11:$M$148,5,FALSE)-AH65</f>
        <v>5.204919034440536E-06</v>
      </c>
      <c r="AQ65" s="164">
        <f>VLOOKUP(AA65,'FY 2005 TABLE 15'!$A$11:$M$148,12,FALSE)-AI65</f>
        <v>0</v>
      </c>
      <c r="AR65" s="165">
        <f>VLOOKUP(AA65,'FY 2005 TABLE 15'!$A$11:$M$148,13,FALSE)-AJ65</f>
        <v>8.238037480623461E-06</v>
      </c>
    </row>
    <row r="66" spans="1:44" s="84" customFormat="1" ht="15">
      <c r="A66" s="59"/>
      <c r="B66" s="59"/>
      <c r="C66" s="59"/>
      <c r="D66" s="59"/>
      <c r="E66" s="59"/>
      <c r="F66" s="59"/>
      <c r="G66" s="59"/>
      <c r="H66" s="59"/>
      <c r="I66" s="155"/>
      <c r="J66" s="82"/>
      <c r="K66" s="58"/>
      <c r="L66" s="58"/>
      <c r="M66" s="58"/>
      <c r="N66" s="58"/>
      <c r="O66" s="58"/>
      <c r="P66" s="58"/>
      <c r="Q66" s="58"/>
      <c r="R66" s="58"/>
      <c r="S66" s="58"/>
      <c r="T66" s="58"/>
      <c r="U66" s="58"/>
      <c r="V66" s="58"/>
      <c r="W66" s="58"/>
      <c r="X66" s="58"/>
      <c r="Y66" s="58"/>
      <c r="Z66" s="58"/>
      <c r="AA66" s="113">
        <v>67</v>
      </c>
      <c r="AB66" s="114" t="s">
        <v>366</v>
      </c>
      <c r="AC66" s="115">
        <v>10573841.09</v>
      </c>
      <c r="AD66" s="115">
        <v>4584.923</v>
      </c>
      <c r="AE66" s="115">
        <v>3409234.03</v>
      </c>
      <c r="AF66" s="115">
        <v>1478.2779</v>
      </c>
      <c r="AG66" s="115">
        <v>3861680.449999987</v>
      </c>
      <c r="AH66" s="115">
        <v>1674.4632</v>
      </c>
      <c r="AI66" s="115">
        <v>19965864.149999987</v>
      </c>
      <c r="AJ66" s="115">
        <v>8657.3979</v>
      </c>
      <c r="AK66" s="164">
        <f>VLOOKUP(AA66,'FY 2005 TABLE 15'!$A$11:$M$148,6,FALSE)-AC66</f>
        <v>0</v>
      </c>
      <c r="AL66" s="164">
        <f>VLOOKUP(AA66,'FY 2005 TABLE 15'!$A$11:$M$148,7,FALSE)-AD66</f>
        <v>-1.346792487311177E-05</v>
      </c>
      <c r="AM66" s="164">
        <f>VLOOKUP(AA66,'FY 2005 TABLE 15'!$A$11:$M$148,10,FALSE)-AE66</f>
        <v>0</v>
      </c>
      <c r="AN66" s="164">
        <f>VLOOKUP(AA66,'FY 2005 TABLE 15'!$A$11:$M$148,11,FALSE)-AF66</f>
        <v>-1.2374361403999501E-05</v>
      </c>
      <c r="AO66" s="164">
        <f>VLOOKUP(AA66,'FY 2005 TABLE 15'!$A$11:$M$148,4,FALSE)-AG66</f>
        <v>0</v>
      </c>
      <c r="AP66" s="164">
        <f>VLOOKUP(AA66,'FY 2005 TABLE 15'!$A$11:$M$148,5,FALSE)-AH66</f>
        <v>-3.083140882154112E-05</v>
      </c>
      <c r="AQ66" s="164">
        <f>VLOOKUP(AA66,'FY 2005 TABLE 15'!$A$11:$M$148,12,FALSE)-AI66</f>
        <v>0</v>
      </c>
      <c r="AR66" s="165">
        <f>VLOOKUP(AA66,'FY 2005 TABLE 15'!$A$11:$M$148,13,FALSE)-AJ66</f>
        <v>-1.5149469618336298E-05</v>
      </c>
    </row>
    <row r="67" spans="1:44" s="84" customFormat="1" ht="15">
      <c r="A67" s="59"/>
      <c r="B67" s="59"/>
      <c r="C67" s="59"/>
      <c r="D67" s="59"/>
      <c r="E67" s="59"/>
      <c r="F67" s="59"/>
      <c r="G67" s="59"/>
      <c r="H67" s="59"/>
      <c r="I67" s="155"/>
      <c r="J67" s="82"/>
      <c r="K67" s="58"/>
      <c r="L67" s="58"/>
      <c r="M67" s="58"/>
      <c r="N67" s="58"/>
      <c r="O67" s="58"/>
      <c r="P67" s="58"/>
      <c r="Q67" s="58"/>
      <c r="R67" s="58"/>
      <c r="S67" s="58"/>
      <c r="T67" s="58"/>
      <c r="U67" s="58"/>
      <c r="V67" s="58"/>
      <c r="W67" s="58"/>
      <c r="X67" s="58"/>
      <c r="Y67" s="58"/>
      <c r="Z67" s="58"/>
      <c r="AA67" s="113">
        <v>68</v>
      </c>
      <c r="AB67" s="114" t="s">
        <v>367</v>
      </c>
      <c r="AC67" s="115">
        <v>14618534.960000003</v>
      </c>
      <c r="AD67" s="115">
        <v>3385.6365</v>
      </c>
      <c r="AE67" s="115">
        <v>2409420.43</v>
      </c>
      <c r="AF67" s="115">
        <v>558.0191</v>
      </c>
      <c r="AG67" s="115">
        <v>12979566.709999992</v>
      </c>
      <c r="AH67" s="115">
        <v>3006.0532</v>
      </c>
      <c r="AI67" s="115">
        <v>33537157.679999996</v>
      </c>
      <c r="AJ67" s="115">
        <v>7767.1685</v>
      </c>
      <c r="AK67" s="164">
        <f>VLOOKUP(AA67,'FY 2005 TABLE 15'!$A$11:$M$148,6,FALSE)-AC67</f>
        <v>0</v>
      </c>
      <c r="AL67" s="164">
        <f>VLOOKUP(AA67,'FY 2005 TABLE 15'!$A$11:$M$148,7,FALSE)-AD67</f>
        <v>-4.07764582632808E-05</v>
      </c>
      <c r="AM67" s="164">
        <f>VLOOKUP(AA67,'FY 2005 TABLE 15'!$A$11:$M$148,10,FALSE)-AE67</f>
        <v>0</v>
      </c>
      <c r="AN67" s="164">
        <f>VLOOKUP(AA67,'FY 2005 TABLE 15'!$A$11:$M$148,11,FALSE)-AF67</f>
        <v>-4.671581223192334E-06</v>
      </c>
      <c r="AO67" s="164">
        <f>VLOOKUP(AA67,'FY 2005 TABLE 15'!$A$11:$M$148,4,FALSE)-AG67</f>
        <v>0</v>
      </c>
      <c r="AP67" s="164">
        <f>VLOOKUP(AA67,'FY 2005 TABLE 15'!$A$11:$M$148,5,FALSE)-AH67</f>
        <v>3.300469234090997E-05</v>
      </c>
      <c r="AQ67" s="164">
        <f>VLOOKUP(AA67,'FY 2005 TABLE 15'!$A$11:$M$148,12,FALSE)-AI67</f>
        <v>0</v>
      </c>
      <c r="AR67" s="165">
        <f>VLOOKUP(AA67,'FY 2005 TABLE 15'!$A$11:$M$148,13,FALSE)-AJ67</f>
        <v>-3.265197119617369E-05</v>
      </c>
    </row>
    <row r="68" spans="1:44" s="84" customFormat="1" ht="15">
      <c r="A68" s="59"/>
      <c r="B68" s="59"/>
      <c r="C68" s="59"/>
      <c r="D68" s="59"/>
      <c r="E68" s="59"/>
      <c r="F68" s="59"/>
      <c r="G68" s="59"/>
      <c r="H68" s="59"/>
      <c r="I68" s="155"/>
      <c r="J68" s="82"/>
      <c r="K68" s="58"/>
      <c r="L68" s="58"/>
      <c r="M68" s="58"/>
      <c r="N68" s="58"/>
      <c r="O68" s="58"/>
      <c r="P68" s="58"/>
      <c r="Q68" s="58"/>
      <c r="R68" s="58"/>
      <c r="S68" s="58"/>
      <c r="T68" s="58"/>
      <c r="U68" s="58"/>
      <c r="V68" s="58"/>
      <c r="W68" s="58"/>
      <c r="X68" s="58"/>
      <c r="Y68" s="58"/>
      <c r="Z68" s="58"/>
      <c r="AA68" s="113">
        <v>69</v>
      </c>
      <c r="AB68" s="114" t="s">
        <v>368</v>
      </c>
      <c r="AC68" s="115">
        <v>13795923.91</v>
      </c>
      <c r="AD68" s="115">
        <v>3908.8692</v>
      </c>
      <c r="AE68" s="115">
        <v>2222189.96</v>
      </c>
      <c r="AF68" s="115">
        <v>629.6244</v>
      </c>
      <c r="AG68" s="115">
        <v>8960247.66999999</v>
      </c>
      <c r="AH68" s="115">
        <v>2538.7525</v>
      </c>
      <c r="AI68" s="115">
        <v>27777393.03999999</v>
      </c>
      <c r="AJ68" s="115">
        <v>7870.3099</v>
      </c>
      <c r="AK68" s="164">
        <f>VLOOKUP(AA68,'FY 2005 TABLE 15'!$A$11:$M$148,6,FALSE)-AC68</f>
        <v>0</v>
      </c>
      <c r="AL68" s="164">
        <f>VLOOKUP(AA68,'FY 2005 TABLE 15'!$A$11:$M$148,7,FALSE)-AD68</f>
        <v>1.2526810678537004E-05</v>
      </c>
      <c r="AM68" s="164">
        <f>VLOOKUP(AA68,'FY 2005 TABLE 15'!$A$11:$M$148,10,FALSE)-AE68</f>
        <v>0</v>
      </c>
      <c r="AN68" s="164">
        <f>VLOOKUP(AA68,'FY 2005 TABLE 15'!$A$11:$M$148,11,FALSE)-AF68</f>
        <v>-2.8649709975070436E-05</v>
      </c>
      <c r="AO68" s="164">
        <f>VLOOKUP(AA68,'FY 2005 TABLE 15'!$A$11:$M$148,4,FALSE)-AG68</f>
        <v>0</v>
      </c>
      <c r="AP68" s="164">
        <f>VLOOKUP(AA68,'FY 2005 TABLE 15'!$A$11:$M$148,5,FALSE)-AH68</f>
        <v>-4.526280463323928E-06</v>
      </c>
      <c r="AQ68" s="164">
        <f>VLOOKUP(AA68,'FY 2005 TABLE 15'!$A$11:$M$148,12,FALSE)-AI68</f>
        <v>0</v>
      </c>
      <c r="AR68" s="165">
        <f>VLOOKUP(AA68,'FY 2005 TABLE 15'!$A$11:$M$148,13,FALSE)-AJ68</f>
        <v>-5.088983925816137E-06</v>
      </c>
    </row>
    <row r="69" spans="1:44" s="84" customFormat="1" ht="15">
      <c r="A69" s="59"/>
      <c r="B69" s="59"/>
      <c r="C69" s="59"/>
      <c r="D69" s="59"/>
      <c r="E69" s="59"/>
      <c r="F69" s="59"/>
      <c r="G69" s="59"/>
      <c r="H69" s="59"/>
      <c r="I69" s="155"/>
      <c r="J69" s="82"/>
      <c r="K69" s="58"/>
      <c r="L69" s="58"/>
      <c r="M69" s="58"/>
      <c r="N69" s="58"/>
      <c r="O69" s="58"/>
      <c r="P69" s="58"/>
      <c r="Q69" s="58"/>
      <c r="R69" s="58"/>
      <c r="S69" s="58"/>
      <c r="T69" s="58"/>
      <c r="U69" s="58"/>
      <c r="V69" s="58"/>
      <c r="W69" s="58"/>
      <c r="X69" s="58"/>
      <c r="Y69" s="58"/>
      <c r="Z69" s="58"/>
      <c r="AA69" s="113">
        <v>70</v>
      </c>
      <c r="AB69" s="114" t="s">
        <v>369</v>
      </c>
      <c r="AC69" s="115">
        <v>11437311.440000001</v>
      </c>
      <c r="AD69" s="115">
        <v>4458.452</v>
      </c>
      <c r="AE69" s="115">
        <v>1946342.76</v>
      </c>
      <c r="AF69" s="115">
        <v>758.7164</v>
      </c>
      <c r="AG69" s="115">
        <v>4499432.319999989</v>
      </c>
      <c r="AH69" s="115">
        <v>1753.9527</v>
      </c>
      <c r="AI69" s="115">
        <v>19968843.27999999</v>
      </c>
      <c r="AJ69" s="115">
        <v>7784.1833</v>
      </c>
      <c r="AK69" s="164">
        <f>VLOOKUP(AA69,'FY 2005 TABLE 15'!$A$11:$M$148,6,FALSE)-AC69</f>
        <v>0</v>
      </c>
      <c r="AL69" s="164">
        <f>VLOOKUP(AA69,'FY 2005 TABLE 15'!$A$11:$M$148,7,FALSE)-AD69</f>
        <v>-2.343576397834113E-05</v>
      </c>
      <c r="AM69" s="164">
        <f>VLOOKUP(AA69,'FY 2005 TABLE 15'!$A$11:$M$148,10,FALSE)-AE69</f>
        <v>0</v>
      </c>
      <c r="AN69" s="164">
        <f>VLOOKUP(AA69,'FY 2005 TABLE 15'!$A$11:$M$148,11,FALSE)-AF69</f>
        <v>-3.151276018797944E-06</v>
      </c>
      <c r="AO69" s="164">
        <f>VLOOKUP(AA69,'FY 2005 TABLE 15'!$A$11:$M$148,4,FALSE)-AG69</f>
        <v>0</v>
      </c>
      <c r="AP69" s="164">
        <f>VLOOKUP(AA69,'FY 2005 TABLE 15'!$A$11:$M$148,5,FALSE)-AH69</f>
        <v>-3.1511596262134844E-05</v>
      </c>
      <c r="AQ69" s="164">
        <f>VLOOKUP(AA69,'FY 2005 TABLE 15'!$A$11:$M$148,12,FALSE)-AI69</f>
        <v>0</v>
      </c>
      <c r="AR69" s="165">
        <f>VLOOKUP(AA69,'FY 2005 TABLE 15'!$A$11:$M$148,13,FALSE)-AJ69</f>
        <v>7.280597856151871E-06</v>
      </c>
    </row>
    <row r="70" spans="1:44" s="84" customFormat="1" ht="15">
      <c r="A70" s="59"/>
      <c r="B70" s="59"/>
      <c r="C70" s="59"/>
      <c r="D70" s="59"/>
      <c r="E70" s="59"/>
      <c r="F70" s="59"/>
      <c r="G70" s="59"/>
      <c r="H70" s="59"/>
      <c r="I70" s="155"/>
      <c r="J70" s="82"/>
      <c r="K70" s="58"/>
      <c r="L70" s="58"/>
      <c r="M70" s="58"/>
      <c r="N70" s="58"/>
      <c r="O70" s="58"/>
      <c r="P70" s="58"/>
      <c r="Q70" s="58"/>
      <c r="R70" s="58"/>
      <c r="S70" s="58"/>
      <c r="T70" s="58"/>
      <c r="U70" s="58"/>
      <c r="V70" s="58"/>
      <c r="W70" s="58"/>
      <c r="X70" s="58"/>
      <c r="Y70" s="58"/>
      <c r="Z70" s="58"/>
      <c r="AA70" s="113">
        <v>71</v>
      </c>
      <c r="AB70" s="114" t="s">
        <v>370</v>
      </c>
      <c r="AC70" s="115">
        <v>37298810.970000006</v>
      </c>
      <c r="AD70" s="115">
        <v>4125.5959</v>
      </c>
      <c r="AE70" s="115">
        <v>6592932.61</v>
      </c>
      <c r="AF70" s="115">
        <v>729.2398</v>
      </c>
      <c r="AG70" s="115">
        <v>15550715.58000001</v>
      </c>
      <c r="AH70" s="115">
        <v>1720.054</v>
      </c>
      <c r="AI70" s="115">
        <v>67366809.89000002</v>
      </c>
      <c r="AJ70" s="115">
        <v>7451.3966</v>
      </c>
      <c r="AK70" s="164">
        <f>VLOOKUP(AA70,'FY 2005 TABLE 15'!$A$11:$M$148,6,FALSE)-AC70</f>
        <v>0</v>
      </c>
      <c r="AL70" s="164">
        <f>VLOOKUP(AA70,'FY 2005 TABLE 15'!$A$11:$M$148,7,FALSE)-AD70</f>
        <v>-2.329398921574466E-05</v>
      </c>
      <c r="AM70" s="164">
        <f>VLOOKUP(AA70,'FY 2005 TABLE 15'!$A$11:$M$148,10,FALSE)-AE70</f>
        <v>0</v>
      </c>
      <c r="AN70" s="164">
        <f>VLOOKUP(AA70,'FY 2005 TABLE 15'!$A$11:$M$148,11,FALSE)-AF70</f>
        <v>-4.988856096588279E-05</v>
      </c>
      <c r="AO70" s="164">
        <f>VLOOKUP(AA70,'FY 2005 TABLE 15'!$A$11:$M$148,4,FALSE)-AG70</f>
        <v>0</v>
      </c>
      <c r="AP70" s="164">
        <f>VLOOKUP(AA70,'FY 2005 TABLE 15'!$A$11:$M$148,5,FALSE)-AH70</f>
        <v>-2.4867185402399627E-05</v>
      </c>
      <c r="AQ70" s="164">
        <f>VLOOKUP(AA70,'FY 2005 TABLE 15'!$A$11:$M$148,12,FALSE)-AI70</f>
        <v>0</v>
      </c>
      <c r="AR70" s="165">
        <f>VLOOKUP(AA70,'FY 2005 TABLE 15'!$A$11:$M$148,13,FALSE)-AJ70</f>
        <v>-3.6697938412544318E-06</v>
      </c>
    </row>
    <row r="71" spans="1:44" s="84" customFormat="1" ht="15">
      <c r="A71" s="59"/>
      <c r="B71" s="59"/>
      <c r="C71" s="59"/>
      <c r="D71" s="59"/>
      <c r="E71" s="59"/>
      <c r="F71" s="59"/>
      <c r="G71" s="59"/>
      <c r="H71" s="59"/>
      <c r="I71" s="155"/>
      <c r="J71" s="82"/>
      <c r="K71" s="58"/>
      <c r="L71" s="58"/>
      <c r="M71" s="58"/>
      <c r="N71" s="58"/>
      <c r="O71" s="58"/>
      <c r="P71" s="58"/>
      <c r="Q71" s="58"/>
      <c r="R71" s="58"/>
      <c r="S71" s="58"/>
      <c r="T71" s="58"/>
      <c r="U71" s="58"/>
      <c r="V71" s="58"/>
      <c r="W71" s="58"/>
      <c r="X71" s="58"/>
      <c r="Y71" s="58"/>
      <c r="Z71" s="58"/>
      <c r="AA71" s="113">
        <v>72</v>
      </c>
      <c r="AB71" s="114" t="s">
        <v>371</v>
      </c>
      <c r="AC71" s="115">
        <v>13122699.700000001</v>
      </c>
      <c r="AD71" s="115">
        <v>3166.2391</v>
      </c>
      <c r="AE71" s="115">
        <v>1275876.84</v>
      </c>
      <c r="AF71" s="115">
        <v>307.843</v>
      </c>
      <c r="AG71" s="115">
        <v>16702723.409999996</v>
      </c>
      <c r="AH71" s="115">
        <v>4030.0257</v>
      </c>
      <c r="AI71" s="115">
        <v>34340496.15</v>
      </c>
      <c r="AJ71" s="115">
        <v>8285.6596</v>
      </c>
      <c r="AK71" s="164">
        <f>VLOOKUP(AA71,'FY 2005 TABLE 15'!$A$11:$M$148,6,FALSE)-AC71</f>
        <v>0</v>
      </c>
      <c r="AL71" s="164">
        <f>VLOOKUP(AA71,'FY 2005 TABLE 15'!$A$11:$M$148,7,FALSE)-AD71</f>
        <v>2.7340110591467237E-05</v>
      </c>
      <c r="AM71" s="164">
        <f>VLOOKUP(AA71,'FY 2005 TABLE 15'!$A$11:$M$148,10,FALSE)-AE71</f>
        <v>0</v>
      </c>
      <c r="AN71" s="164">
        <f>VLOOKUP(AA71,'FY 2005 TABLE 15'!$A$11:$M$148,11,FALSE)-AF71</f>
        <v>-5.431202737327112E-06</v>
      </c>
      <c r="AO71" s="164">
        <f>VLOOKUP(AA71,'FY 2005 TABLE 15'!$A$11:$M$148,4,FALSE)-AG71</f>
        <v>0</v>
      </c>
      <c r="AP71" s="164">
        <f>VLOOKUP(AA71,'FY 2005 TABLE 15'!$A$11:$M$148,5,FALSE)-AH71</f>
        <v>-4.957064311383874E-05</v>
      </c>
      <c r="AQ71" s="164">
        <f>VLOOKUP(AA71,'FY 2005 TABLE 15'!$A$11:$M$148,12,FALSE)-AI71</f>
        <v>0</v>
      </c>
      <c r="AR71" s="165">
        <f>VLOOKUP(AA71,'FY 2005 TABLE 15'!$A$11:$M$148,13,FALSE)-AJ71</f>
        <v>-1.4083971109357662E-05</v>
      </c>
    </row>
    <row r="72" spans="1:44" s="84" customFormat="1" ht="15">
      <c r="A72" s="59"/>
      <c r="B72" s="59"/>
      <c r="C72" s="59"/>
      <c r="D72" s="59"/>
      <c r="E72" s="59"/>
      <c r="F72" s="59"/>
      <c r="G72" s="59"/>
      <c r="H72" s="59"/>
      <c r="I72" s="155"/>
      <c r="J72" s="82"/>
      <c r="K72" s="58"/>
      <c r="L72" s="58"/>
      <c r="M72" s="58"/>
      <c r="N72" s="58"/>
      <c r="O72" s="58"/>
      <c r="P72" s="58"/>
      <c r="Q72" s="58"/>
      <c r="R72" s="58"/>
      <c r="S72" s="58"/>
      <c r="T72" s="58"/>
      <c r="U72" s="58"/>
      <c r="V72" s="58"/>
      <c r="W72" s="58"/>
      <c r="X72" s="58"/>
      <c r="Y72" s="58"/>
      <c r="Z72" s="58"/>
      <c r="AA72" s="113">
        <v>73</v>
      </c>
      <c r="AB72" s="114" t="s">
        <v>372</v>
      </c>
      <c r="AC72" s="115">
        <v>12005235.39</v>
      </c>
      <c r="AD72" s="115">
        <v>4550.0574</v>
      </c>
      <c r="AE72" s="115">
        <v>2456132.66</v>
      </c>
      <c r="AF72" s="115">
        <v>930.8892</v>
      </c>
      <c r="AG72" s="115">
        <v>5866028.40999999</v>
      </c>
      <c r="AH72" s="115">
        <v>2223.2605</v>
      </c>
      <c r="AI72" s="115">
        <v>22836681.75999999</v>
      </c>
      <c r="AJ72" s="115">
        <v>8655.2416</v>
      </c>
      <c r="AK72" s="164">
        <f>VLOOKUP(AA72,'FY 2005 TABLE 15'!$A$11:$M$148,6,FALSE)-AC72</f>
        <v>0</v>
      </c>
      <c r="AL72" s="164">
        <f>VLOOKUP(AA72,'FY 2005 TABLE 15'!$A$11:$M$148,7,FALSE)-AD72</f>
        <v>-2.2267365238803905E-05</v>
      </c>
      <c r="AM72" s="164">
        <f>VLOOKUP(AA72,'FY 2005 TABLE 15'!$A$11:$M$148,10,FALSE)-AE72</f>
        <v>0</v>
      </c>
      <c r="AN72" s="164">
        <f>VLOOKUP(AA72,'FY 2005 TABLE 15'!$A$11:$M$148,11,FALSE)-AF72</f>
        <v>4.68390892365278E-05</v>
      </c>
      <c r="AO72" s="164">
        <f>VLOOKUP(AA72,'FY 2005 TABLE 15'!$A$11:$M$148,4,FALSE)-AG72</f>
        <v>0</v>
      </c>
      <c r="AP72" s="164">
        <f>VLOOKUP(AA72,'FY 2005 TABLE 15'!$A$11:$M$148,5,FALSE)-AH72</f>
        <v>1.7419115920347394E-05</v>
      </c>
      <c r="AQ72" s="164">
        <f>VLOOKUP(AA72,'FY 2005 TABLE 15'!$A$11:$M$148,12,FALSE)-AI72</f>
        <v>0</v>
      </c>
      <c r="AR72" s="165">
        <f>VLOOKUP(AA72,'FY 2005 TABLE 15'!$A$11:$M$148,13,FALSE)-AJ72</f>
        <v>-3.66756648872979E-05</v>
      </c>
    </row>
    <row r="73" spans="1:44" s="84" customFormat="1" ht="15">
      <c r="A73" s="59"/>
      <c r="B73" s="59"/>
      <c r="C73" s="59"/>
      <c r="D73" s="59"/>
      <c r="E73" s="59"/>
      <c r="F73" s="59"/>
      <c r="G73" s="59"/>
      <c r="H73" s="59"/>
      <c r="I73" s="155"/>
      <c r="J73" s="82"/>
      <c r="K73" s="58"/>
      <c r="L73" s="58"/>
      <c r="M73" s="58"/>
      <c r="N73" s="58"/>
      <c r="O73" s="58"/>
      <c r="P73" s="58"/>
      <c r="Q73" s="58"/>
      <c r="R73" s="58"/>
      <c r="S73" s="58"/>
      <c r="T73" s="58"/>
      <c r="U73" s="58"/>
      <c r="V73" s="58"/>
      <c r="W73" s="58"/>
      <c r="X73" s="58"/>
      <c r="Y73" s="58"/>
      <c r="Z73" s="58"/>
      <c r="AA73" s="113">
        <v>74</v>
      </c>
      <c r="AB73" s="114" t="s">
        <v>373</v>
      </c>
      <c r="AC73" s="115">
        <v>24467051.479999993</v>
      </c>
      <c r="AD73" s="115">
        <v>4040.1273</v>
      </c>
      <c r="AE73" s="115">
        <v>6680879.130000001</v>
      </c>
      <c r="AF73" s="115">
        <v>1103.1817</v>
      </c>
      <c r="AG73" s="115">
        <v>10804364.900000023</v>
      </c>
      <c r="AH73" s="115">
        <v>1784.0732</v>
      </c>
      <c r="AI73" s="115">
        <v>46734118.67000002</v>
      </c>
      <c r="AJ73" s="115">
        <v>7716.9818</v>
      </c>
      <c r="AK73" s="164">
        <f>VLOOKUP(AA73,'FY 2005 TABLE 15'!$A$11:$M$148,6,FALSE)-AC73</f>
        <v>0</v>
      </c>
      <c r="AL73" s="164">
        <f>VLOOKUP(AA73,'FY 2005 TABLE 15'!$A$11:$M$148,7,FALSE)-AD73</f>
        <v>2.4756727725616656E-05</v>
      </c>
      <c r="AM73" s="164">
        <f>VLOOKUP(AA73,'FY 2005 TABLE 15'!$A$11:$M$148,10,FALSE)-AE73</f>
        <v>0</v>
      </c>
      <c r="AN73" s="164">
        <f>VLOOKUP(AA73,'FY 2005 TABLE 15'!$A$11:$M$148,11,FALSE)-AF73</f>
        <v>-4.5742493739453494E-05</v>
      </c>
      <c r="AO73" s="164">
        <f>VLOOKUP(AA73,'FY 2005 TABLE 15'!$A$11:$M$148,4,FALSE)-AG73</f>
        <v>0</v>
      </c>
      <c r="AP73" s="164">
        <f>VLOOKUP(AA73,'FY 2005 TABLE 15'!$A$11:$M$148,5,FALSE)-AH73</f>
        <v>-3.961882225667068E-05</v>
      </c>
      <c r="AQ73" s="164">
        <f>VLOOKUP(AA73,'FY 2005 TABLE 15'!$A$11:$M$148,12,FALSE)-AI73</f>
        <v>0</v>
      </c>
      <c r="AR73" s="165">
        <f>VLOOKUP(AA73,'FY 2005 TABLE 15'!$A$11:$M$148,13,FALSE)-AJ73</f>
        <v>-4.633710705093108E-05</v>
      </c>
    </row>
    <row r="74" spans="1:44" s="84" customFormat="1" ht="15">
      <c r="A74" s="59"/>
      <c r="B74" s="59"/>
      <c r="C74" s="59"/>
      <c r="D74" s="59"/>
      <c r="E74" s="59"/>
      <c r="F74" s="59"/>
      <c r="G74" s="59"/>
      <c r="H74" s="59"/>
      <c r="I74" s="155"/>
      <c r="J74" s="82"/>
      <c r="K74" s="58"/>
      <c r="L74" s="58"/>
      <c r="M74" s="58"/>
      <c r="N74" s="58"/>
      <c r="O74" s="58"/>
      <c r="P74" s="58"/>
      <c r="Q74" s="58"/>
      <c r="R74" s="58"/>
      <c r="S74" s="58"/>
      <c r="T74" s="58"/>
      <c r="U74" s="58"/>
      <c r="V74" s="58"/>
      <c r="W74" s="58"/>
      <c r="X74" s="58"/>
      <c r="Y74" s="58"/>
      <c r="Z74" s="58"/>
      <c r="AA74" s="113">
        <v>75</v>
      </c>
      <c r="AB74" s="114" t="s">
        <v>374</v>
      </c>
      <c r="AC74" s="115">
        <v>233930429.83</v>
      </c>
      <c r="AD74" s="115">
        <v>3584.0734</v>
      </c>
      <c r="AE74" s="115">
        <v>27502131.960000005</v>
      </c>
      <c r="AF74" s="115">
        <v>421.3631</v>
      </c>
      <c r="AG74" s="115">
        <v>275984544.0099998</v>
      </c>
      <c r="AH74" s="115">
        <v>4228.3891</v>
      </c>
      <c r="AI74" s="115">
        <v>586886754.9599998</v>
      </c>
      <c r="AJ74" s="115">
        <v>8991.7555</v>
      </c>
      <c r="AK74" s="164">
        <f>VLOOKUP(AA74,'FY 2005 TABLE 15'!$A$11:$M$148,6,FALSE)-AC74</f>
        <v>0</v>
      </c>
      <c r="AL74" s="164">
        <f>VLOOKUP(AA74,'FY 2005 TABLE 15'!$A$11:$M$148,7,FALSE)-AD74</f>
        <v>2.96285411423014E-05</v>
      </c>
      <c r="AM74" s="164">
        <f>VLOOKUP(AA74,'FY 2005 TABLE 15'!$A$11:$M$148,10,FALSE)-AE74</f>
        <v>0</v>
      </c>
      <c r="AN74" s="164">
        <f>VLOOKUP(AA74,'FY 2005 TABLE 15'!$A$11:$M$148,11,FALSE)-AF74</f>
        <v>3.983437585475258E-05</v>
      </c>
      <c r="AO74" s="164">
        <f>VLOOKUP(AA74,'FY 2005 TABLE 15'!$A$11:$M$148,4,FALSE)-AG74</f>
        <v>0</v>
      </c>
      <c r="AP74" s="164">
        <f>VLOOKUP(AA74,'FY 2005 TABLE 15'!$A$11:$M$148,5,FALSE)-AH74</f>
        <v>-3.623768861871213E-05</v>
      </c>
      <c r="AQ74" s="164">
        <f>VLOOKUP(AA74,'FY 2005 TABLE 15'!$A$11:$M$148,12,FALSE)-AI74</f>
        <v>0</v>
      </c>
      <c r="AR74" s="165">
        <f>VLOOKUP(AA74,'FY 2005 TABLE 15'!$A$11:$M$148,13,FALSE)-AJ74</f>
        <v>-1.8758630176307634E-05</v>
      </c>
    </row>
    <row r="75" spans="1:44" s="84" customFormat="1" ht="15">
      <c r="A75" s="59"/>
      <c r="B75" s="59"/>
      <c r="C75" s="59"/>
      <c r="D75" s="59"/>
      <c r="E75" s="59"/>
      <c r="F75" s="59"/>
      <c r="G75" s="59"/>
      <c r="H75" s="59"/>
      <c r="I75" s="155"/>
      <c r="J75" s="82"/>
      <c r="K75" s="58"/>
      <c r="L75" s="58"/>
      <c r="M75" s="58"/>
      <c r="N75" s="58"/>
      <c r="O75" s="58"/>
      <c r="P75" s="58"/>
      <c r="Q75" s="58"/>
      <c r="R75" s="58"/>
      <c r="S75" s="58"/>
      <c r="T75" s="58"/>
      <c r="U75" s="58"/>
      <c r="V75" s="58"/>
      <c r="W75" s="58"/>
      <c r="X75" s="58"/>
      <c r="Y75" s="58"/>
      <c r="Z75" s="58"/>
      <c r="AA75" s="113">
        <v>77</v>
      </c>
      <c r="AB75" s="114" t="s">
        <v>375</v>
      </c>
      <c r="AC75" s="115">
        <v>18161266.35</v>
      </c>
      <c r="AD75" s="115">
        <v>3731.0668</v>
      </c>
      <c r="AE75" s="115">
        <v>4083204.54</v>
      </c>
      <c r="AF75" s="115">
        <v>838.8572</v>
      </c>
      <c r="AG75" s="115">
        <v>12923300.630000006</v>
      </c>
      <c r="AH75" s="115">
        <v>2654.9745</v>
      </c>
      <c r="AI75" s="115">
        <v>39454351.720000006</v>
      </c>
      <c r="AJ75" s="115">
        <v>8105.5374</v>
      </c>
      <c r="AK75" s="164">
        <f>VLOOKUP(AA75,'FY 2005 TABLE 15'!$A$11:$M$148,6,FALSE)-AC75</f>
        <v>0</v>
      </c>
      <c r="AL75" s="164">
        <f>VLOOKUP(AA75,'FY 2005 TABLE 15'!$A$11:$M$148,7,FALSE)-AD75</f>
        <v>4.430456237969338E-05</v>
      </c>
      <c r="AM75" s="164">
        <f>VLOOKUP(AA75,'FY 2005 TABLE 15'!$A$11:$M$148,10,FALSE)-AE75</f>
        <v>0</v>
      </c>
      <c r="AN75" s="164">
        <f>VLOOKUP(AA75,'FY 2005 TABLE 15'!$A$11:$M$148,11,FALSE)-AF75</f>
        <v>2.1415158926174627E-06</v>
      </c>
      <c r="AO75" s="164">
        <f>VLOOKUP(AA75,'FY 2005 TABLE 15'!$A$11:$M$148,4,FALSE)-AG75</f>
        <v>0</v>
      </c>
      <c r="AP75" s="164">
        <f>VLOOKUP(AA75,'FY 2005 TABLE 15'!$A$11:$M$148,5,FALSE)-AH75</f>
        <v>-3.014023241121322E-05</v>
      </c>
      <c r="AQ75" s="164">
        <f>VLOOKUP(AA75,'FY 2005 TABLE 15'!$A$11:$M$148,12,FALSE)-AI75</f>
        <v>0</v>
      </c>
      <c r="AR75" s="165">
        <f>VLOOKUP(AA75,'FY 2005 TABLE 15'!$A$11:$M$148,13,FALSE)-AJ75</f>
        <v>-3.593570909288246E-06</v>
      </c>
    </row>
    <row r="76" spans="1:44" ht="15">
      <c r="A76" s="59"/>
      <c r="B76" s="59"/>
      <c r="C76" s="59"/>
      <c r="D76" s="59"/>
      <c r="E76" s="59"/>
      <c r="F76" s="59"/>
      <c r="G76" s="59"/>
      <c r="H76" s="59"/>
      <c r="I76" s="155"/>
      <c r="J76" s="82"/>
      <c r="K76" s="58"/>
      <c r="L76" s="58"/>
      <c r="M76" s="58"/>
      <c r="N76" s="58"/>
      <c r="O76" s="58"/>
      <c r="P76" s="58"/>
      <c r="Q76" s="58"/>
      <c r="R76" s="58"/>
      <c r="S76" s="58"/>
      <c r="T76" s="58"/>
      <c r="U76" s="58"/>
      <c r="V76" s="58"/>
      <c r="W76" s="58"/>
      <c r="X76" s="58"/>
      <c r="Y76" s="58"/>
      <c r="Z76" s="58"/>
      <c r="AA76" s="113">
        <v>78</v>
      </c>
      <c r="AB76" s="114" t="s">
        <v>376</v>
      </c>
      <c r="AC76" s="115">
        <v>1980701.04</v>
      </c>
      <c r="AD76" s="115">
        <v>1952.9111</v>
      </c>
      <c r="AE76" s="115">
        <v>508375.32</v>
      </c>
      <c r="AF76" s="115">
        <v>501.2426</v>
      </c>
      <c r="AG76" s="115">
        <v>6244035.089999993</v>
      </c>
      <c r="AH76" s="115">
        <v>6156.4291</v>
      </c>
      <c r="AI76" s="115">
        <v>9767325.209999993</v>
      </c>
      <c r="AJ76" s="115">
        <v>9630.2862</v>
      </c>
      <c r="AK76" s="164">
        <f>VLOOKUP(AA76,'FY 2005 TABLE 15'!$A$11:$M$148,6,FALSE)-AC76</f>
        <v>0</v>
      </c>
      <c r="AL76" s="164">
        <f>VLOOKUP(AA76,'FY 2005 TABLE 15'!$A$11:$M$148,7,FALSE)-AD76</f>
        <v>1.483588539485936E-05</v>
      </c>
      <c r="AM76" s="164">
        <f>VLOOKUP(AA76,'FY 2005 TABLE 15'!$A$11:$M$148,10,FALSE)-AE76</f>
        <v>0</v>
      </c>
      <c r="AN76" s="164">
        <f>VLOOKUP(AA76,'FY 2005 TABLE 15'!$A$11:$M$148,11,FALSE)-AF76</f>
        <v>3.72716248193683E-05</v>
      </c>
      <c r="AO76" s="164">
        <f>VLOOKUP(AA76,'FY 2005 TABLE 15'!$A$11:$M$148,4,FALSE)-AG76</f>
        <v>0</v>
      </c>
      <c r="AP76" s="164">
        <f>VLOOKUP(AA76,'FY 2005 TABLE 15'!$A$11:$M$148,5,FALSE)-AH76</f>
        <v>3.852176632790361E-06</v>
      </c>
      <c r="AQ76" s="164">
        <f>VLOOKUP(AA76,'FY 2005 TABLE 15'!$A$11:$M$148,12,FALSE)-AI76</f>
        <v>0</v>
      </c>
      <c r="AR76" s="165">
        <f>VLOOKUP(AA76,'FY 2005 TABLE 15'!$A$11:$M$148,13,FALSE)-AJ76</f>
        <v>3.68496221199166E-05</v>
      </c>
    </row>
    <row r="77" spans="1:44" ht="15">
      <c r="A77" s="59"/>
      <c r="B77" s="59"/>
      <c r="C77" s="59"/>
      <c r="D77" s="59"/>
      <c r="E77" s="59"/>
      <c r="F77" s="59"/>
      <c r="G77" s="59"/>
      <c r="H77" s="59"/>
      <c r="I77" s="155"/>
      <c r="J77" s="82"/>
      <c r="K77" s="58"/>
      <c r="L77" s="58"/>
      <c r="M77" s="58"/>
      <c r="N77" s="58"/>
      <c r="O77" s="58"/>
      <c r="P77" s="58"/>
      <c r="Q77" s="58"/>
      <c r="R77" s="58"/>
      <c r="S77" s="58"/>
      <c r="T77" s="58"/>
      <c r="U77" s="58"/>
      <c r="V77" s="58"/>
      <c r="W77" s="58"/>
      <c r="X77" s="58"/>
      <c r="Y77" s="58"/>
      <c r="Z77" s="58"/>
      <c r="AA77" s="113">
        <v>79</v>
      </c>
      <c r="AB77" s="114" t="s">
        <v>377</v>
      </c>
      <c r="AC77" s="115">
        <v>4906902.24</v>
      </c>
      <c r="AD77" s="115">
        <v>4046.4625</v>
      </c>
      <c r="AE77" s="115">
        <v>732580.13</v>
      </c>
      <c r="AF77" s="115">
        <v>604.12</v>
      </c>
      <c r="AG77" s="115">
        <v>3263574.0600000066</v>
      </c>
      <c r="AH77" s="115">
        <v>2691.2967</v>
      </c>
      <c r="AI77" s="115">
        <v>9833987.410000006</v>
      </c>
      <c r="AJ77" s="115">
        <v>8109.5687</v>
      </c>
      <c r="AK77" s="164">
        <f>VLOOKUP(AA77,'FY 2005 TABLE 15'!$A$11:$M$148,6,FALSE)-AC77</f>
        <v>0</v>
      </c>
      <c r="AL77" s="164">
        <f>VLOOKUP(AA77,'FY 2005 TABLE 15'!$A$11:$M$148,7,FALSE)-AD77</f>
        <v>-3.793376481553423E-05</v>
      </c>
      <c r="AM77" s="164">
        <f>VLOOKUP(AA77,'FY 2005 TABLE 15'!$A$11:$M$148,10,FALSE)-AE77</f>
        <v>0</v>
      </c>
      <c r="AN77" s="164">
        <f>VLOOKUP(AA77,'FY 2005 TABLE 15'!$A$11:$M$148,11,FALSE)-AF77</f>
        <v>4.387122305615776E-05</v>
      </c>
      <c r="AO77" s="164">
        <f>VLOOKUP(AA77,'FY 2005 TABLE 15'!$A$11:$M$148,4,FALSE)-AG77</f>
        <v>0</v>
      </c>
      <c r="AP77" s="164">
        <f>VLOOKUP(AA77,'FY 2005 TABLE 15'!$A$11:$M$148,5,FALSE)-AH77</f>
        <v>2.450191641401034E-05</v>
      </c>
      <c r="AQ77" s="164">
        <f>VLOOKUP(AA77,'FY 2005 TABLE 15'!$A$11:$M$148,12,FALSE)-AI77</f>
        <v>0</v>
      </c>
      <c r="AR77" s="165">
        <f>VLOOKUP(AA77,'FY 2005 TABLE 15'!$A$11:$M$148,13,FALSE)-AJ77</f>
        <v>1.7838769053923897E-05</v>
      </c>
    </row>
    <row r="78" spans="1:44" s="35" customFormat="1" ht="15">
      <c r="A78" s="59"/>
      <c r="B78" s="59"/>
      <c r="C78" s="59"/>
      <c r="D78" s="59"/>
      <c r="E78" s="59"/>
      <c r="F78" s="59"/>
      <c r="G78" s="59"/>
      <c r="H78" s="59"/>
      <c r="I78" s="156"/>
      <c r="J78" s="159"/>
      <c r="K78" s="59"/>
      <c r="L78" s="59"/>
      <c r="M78" s="59"/>
      <c r="N78" s="59"/>
      <c r="O78" s="59"/>
      <c r="P78" s="59"/>
      <c r="Q78" s="59"/>
      <c r="R78" s="59"/>
      <c r="S78" s="59"/>
      <c r="T78" s="59"/>
      <c r="U78" s="59"/>
      <c r="V78" s="59"/>
      <c r="W78" s="59"/>
      <c r="X78" s="59"/>
      <c r="Y78" s="59"/>
      <c r="Z78" s="59"/>
      <c r="AA78" s="113">
        <v>80</v>
      </c>
      <c r="AB78" s="114" t="s">
        <v>378</v>
      </c>
      <c r="AC78" s="115">
        <v>48726269.559999995</v>
      </c>
      <c r="AD78" s="115">
        <v>3356.6914</v>
      </c>
      <c r="AE78" s="115">
        <v>5653384.88</v>
      </c>
      <c r="AF78" s="115">
        <v>389.4546</v>
      </c>
      <c r="AG78" s="115">
        <v>52873717.97000017</v>
      </c>
      <c r="AH78" s="115">
        <v>3642.4039</v>
      </c>
      <c r="AI78" s="115">
        <v>119637596.47000016</v>
      </c>
      <c r="AJ78" s="115">
        <v>8241.6835</v>
      </c>
      <c r="AK78" s="164">
        <f>VLOOKUP(AA78,'FY 2005 TABLE 15'!$A$11:$M$148,6,FALSE)-AC78</f>
        <v>0</v>
      </c>
      <c r="AL78" s="164">
        <f>VLOOKUP(AA78,'FY 2005 TABLE 15'!$A$11:$M$148,7,FALSE)-AD78</f>
        <v>8.747216270421632E-06</v>
      </c>
      <c r="AM78" s="164">
        <f>VLOOKUP(AA78,'FY 2005 TABLE 15'!$A$11:$M$148,10,FALSE)-AE78</f>
        <v>0</v>
      </c>
      <c r="AN78" s="164">
        <f>VLOOKUP(AA78,'FY 2005 TABLE 15'!$A$11:$M$148,11,FALSE)-AF78</f>
        <v>-2.7991975855456985E-05</v>
      </c>
      <c r="AO78" s="164">
        <f>VLOOKUP(AA78,'FY 2005 TABLE 15'!$A$11:$M$148,4,FALSE)-AG78</f>
        <v>0</v>
      </c>
      <c r="AP78" s="164">
        <f>VLOOKUP(AA78,'FY 2005 TABLE 15'!$A$11:$M$148,5,FALSE)-AH78</f>
        <v>1.1916110906895483E-05</v>
      </c>
      <c r="AQ78" s="164">
        <f>VLOOKUP(AA78,'FY 2005 TABLE 15'!$A$11:$M$148,12,FALSE)-AI78</f>
        <v>0</v>
      </c>
      <c r="AR78" s="165">
        <f>VLOOKUP(AA78,'FY 2005 TABLE 15'!$A$11:$M$148,13,FALSE)-AJ78</f>
        <v>7.897417162894271E-06</v>
      </c>
    </row>
    <row r="79" spans="1:44" s="35" customFormat="1" ht="15">
      <c r="A79" s="83"/>
      <c r="B79" s="83"/>
      <c r="C79" s="83"/>
      <c r="D79" s="83"/>
      <c r="E79" s="83"/>
      <c r="F79" s="83"/>
      <c r="G79" s="83"/>
      <c r="H79" s="83"/>
      <c r="I79" s="156"/>
      <c r="J79" s="159"/>
      <c r="K79" s="59"/>
      <c r="L79" s="59"/>
      <c r="M79" s="59"/>
      <c r="N79" s="59"/>
      <c r="O79" s="59"/>
      <c r="P79" s="59"/>
      <c r="Q79" s="59"/>
      <c r="R79" s="59"/>
      <c r="S79" s="59"/>
      <c r="T79" s="59"/>
      <c r="U79" s="59"/>
      <c r="V79" s="59"/>
      <c r="W79" s="59"/>
      <c r="X79" s="59"/>
      <c r="Y79" s="59"/>
      <c r="Z79" s="59"/>
      <c r="AA79" s="113">
        <v>81</v>
      </c>
      <c r="AB79" s="114" t="s">
        <v>379</v>
      </c>
      <c r="AC79" s="115">
        <v>8058833.4</v>
      </c>
      <c r="AD79" s="115">
        <v>2958.1408</v>
      </c>
      <c r="AE79" s="115">
        <v>2410492.49</v>
      </c>
      <c r="AF79" s="115">
        <v>884.8149</v>
      </c>
      <c r="AG79" s="115">
        <v>12067013.900000028</v>
      </c>
      <c r="AH79" s="115">
        <v>4429.4161</v>
      </c>
      <c r="AI79" s="115">
        <v>24920854.010000028</v>
      </c>
      <c r="AJ79" s="115">
        <v>9147.651</v>
      </c>
      <c r="AK79" s="164">
        <f>VLOOKUP(AA79,'FY 2005 TABLE 15'!$A$11:$M$148,6,FALSE)-AC79</f>
        <v>0</v>
      </c>
      <c r="AL79" s="164">
        <f>VLOOKUP(AA79,'FY 2005 TABLE 15'!$A$11:$M$148,7,FALSE)-AD79</f>
        <v>-1.1746124073397368E-08</v>
      </c>
      <c r="AM79" s="164">
        <f>VLOOKUP(AA79,'FY 2005 TABLE 15'!$A$11:$M$148,10,FALSE)-AE79</f>
        <v>0</v>
      </c>
      <c r="AN79" s="164">
        <f>VLOOKUP(AA79,'FY 2005 TABLE 15'!$A$11:$M$148,11,FALSE)-AF79</f>
        <v>3.893821894962457E-05</v>
      </c>
      <c r="AO79" s="164">
        <f>VLOOKUP(AA79,'FY 2005 TABLE 15'!$A$11:$M$148,4,FALSE)-AG79</f>
        <v>0</v>
      </c>
      <c r="AP79" s="164">
        <f>VLOOKUP(AA79,'FY 2005 TABLE 15'!$A$11:$M$148,5,FALSE)-AH79</f>
        <v>-3.196024408680387E-05</v>
      </c>
      <c r="AQ79" s="164">
        <f>VLOOKUP(AA79,'FY 2005 TABLE 15'!$A$11:$M$148,12,FALSE)-AI79</f>
        <v>0</v>
      </c>
      <c r="AR79" s="165">
        <f>VLOOKUP(AA79,'FY 2005 TABLE 15'!$A$11:$M$148,13,FALSE)-AJ79</f>
        <v>-4.874296428170055E-05</v>
      </c>
    </row>
    <row r="80" spans="1:44" s="35" customFormat="1" ht="15">
      <c r="A80" s="83"/>
      <c r="B80" s="83"/>
      <c r="C80" s="83"/>
      <c r="D80" s="83"/>
      <c r="E80" s="83"/>
      <c r="F80" s="83"/>
      <c r="G80" s="83"/>
      <c r="H80" s="83"/>
      <c r="I80" s="156"/>
      <c r="J80" s="159"/>
      <c r="K80" s="59"/>
      <c r="L80" s="59"/>
      <c r="M80" s="59"/>
      <c r="N80" s="59"/>
      <c r="O80" s="59"/>
      <c r="P80" s="59"/>
      <c r="Q80" s="59"/>
      <c r="R80" s="59"/>
      <c r="S80" s="59"/>
      <c r="T80" s="59"/>
      <c r="U80" s="59"/>
      <c r="V80" s="59"/>
      <c r="W80" s="59"/>
      <c r="X80" s="59"/>
      <c r="Y80" s="59"/>
      <c r="Z80" s="59"/>
      <c r="AA80" s="113">
        <v>82</v>
      </c>
      <c r="AB80" s="114" t="s">
        <v>380</v>
      </c>
      <c r="AC80" s="115">
        <v>37290152.68000001</v>
      </c>
      <c r="AD80" s="115">
        <v>3406.5449</v>
      </c>
      <c r="AE80" s="115">
        <v>6664225.04</v>
      </c>
      <c r="AF80" s="115">
        <v>608.7929</v>
      </c>
      <c r="AG80" s="115">
        <v>38057747.70000002</v>
      </c>
      <c r="AH80" s="115">
        <v>3476.6666</v>
      </c>
      <c r="AI80" s="115">
        <v>92332788.46000002</v>
      </c>
      <c r="AJ80" s="115">
        <v>8434.8217</v>
      </c>
      <c r="AK80" s="164">
        <f>VLOOKUP(AA80,'FY 2005 TABLE 15'!$A$11:$M$148,6,FALSE)-AC80</f>
        <v>0</v>
      </c>
      <c r="AL80" s="164">
        <f>VLOOKUP(AA80,'FY 2005 TABLE 15'!$A$11:$M$148,7,FALSE)-AD80</f>
        <v>1.3407061487669125E-05</v>
      </c>
      <c r="AM80" s="164">
        <f>VLOOKUP(AA80,'FY 2005 TABLE 15'!$A$11:$M$148,10,FALSE)-AE80</f>
        <v>0</v>
      </c>
      <c r="AN80" s="164">
        <f>VLOOKUP(AA80,'FY 2005 TABLE 15'!$A$11:$M$148,11,FALSE)-AF80</f>
        <v>4.6133144223858835E-05</v>
      </c>
      <c r="AO80" s="164">
        <f>VLOOKUP(AA80,'FY 2005 TABLE 15'!$A$11:$M$148,4,FALSE)-AG80</f>
        <v>0</v>
      </c>
      <c r="AP80" s="164">
        <f>VLOOKUP(AA80,'FY 2005 TABLE 15'!$A$11:$M$148,5,FALSE)-AH80</f>
        <v>-3.991113089796272E-05</v>
      </c>
      <c r="AQ80" s="164">
        <f>VLOOKUP(AA80,'FY 2005 TABLE 15'!$A$11:$M$148,12,FALSE)-AI80</f>
        <v>0</v>
      </c>
      <c r="AR80" s="165">
        <f>VLOOKUP(AA80,'FY 2005 TABLE 15'!$A$11:$M$148,13,FALSE)-AJ80</f>
        <v>4.954460928274784E-05</v>
      </c>
    </row>
    <row r="81" spans="1:44" s="35" customFormat="1" ht="15">
      <c r="A81" s="59"/>
      <c r="B81" s="59"/>
      <c r="C81" s="59"/>
      <c r="D81" s="59"/>
      <c r="E81" s="59"/>
      <c r="F81" s="59"/>
      <c r="G81" s="59"/>
      <c r="H81" s="59"/>
      <c r="I81" s="156"/>
      <c r="J81" s="159"/>
      <c r="K81" s="59"/>
      <c r="L81" s="59"/>
      <c r="M81" s="59"/>
      <c r="N81" s="59"/>
      <c r="O81" s="59"/>
      <c r="P81" s="59"/>
      <c r="Q81" s="59"/>
      <c r="R81" s="59"/>
      <c r="S81" s="59"/>
      <c r="T81" s="59"/>
      <c r="U81" s="59"/>
      <c r="V81" s="59"/>
      <c r="W81" s="59"/>
      <c r="X81" s="59"/>
      <c r="Y81" s="59"/>
      <c r="Z81" s="59"/>
      <c r="AA81" s="113">
        <v>83</v>
      </c>
      <c r="AB81" s="114" t="s">
        <v>381</v>
      </c>
      <c r="AC81" s="115">
        <v>18695997.48</v>
      </c>
      <c r="AD81" s="115">
        <v>4582.7567</v>
      </c>
      <c r="AE81" s="115">
        <v>5240214.41</v>
      </c>
      <c r="AF81" s="115">
        <v>1284.4796</v>
      </c>
      <c r="AG81" s="115">
        <v>6456608.930000002</v>
      </c>
      <c r="AH81" s="115">
        <v>1582.6418</v>
      </c>
      <c r="AI81" s="115">
        <v>34058318.24</v>
      </c>
      <c r="AJ81" s="115">
        <v>8348.3636</v>
      </c>
      <c r="AK81" s="164">
        <f>VLOOKUP(AA81,'FY 2005 TABLE 15'!$A$11:$M$148,6,FALSE)-AC81</f>
        <v>0</v>
      </c>
      <c r="AL81" s="164">
        <f>VLOOKUP(AA81,'FY 2005 TABLE 15'!$A$11:$M$148,7,FALSE)-AD81</f>
        <v>-1.5586669178446755E-05</v>
      </c>
      <c r="AM81" s="164">
        <f>VLOOKUP(AA81,'FY 2005 TABLE 15'!$A$11:$M$148,10,FALSE)-AE81</f>
        <v>0</v>
      </c>
      <c r="AN81" s="164">
        <f>VLOOKUP(AA81,'FY 2005 TABLE 15'!$A$11:$M$148,11,FALSE)-AF81</f>
        <v>1.339726077276282E-05</v>
      </c>
      <c r="AO81" s="164">
        <f>VLOOKUP(AA81,'FY 2005 TABLE 15'!$A$11:$M$148,4,FALSE)-AG81</f>
        <v>0</v>
      </c>
      <c r="AP81" s="164">
        <f>VLOOKUP(AA81,'FY 2005 TABLE 15'!$A$11:$M$148,5,FALSE)-AH81</f>
        <v>3.35931608788087E-05</v>
      </c>
      <c r="AQ81" s="164">
        <f>VLOOKUP(AA81,'FY 2005 TABLE 15'!$A$11:$M$148,12,FALSE)-AI81</f>
        <v>0</v>
      </c>
      <c r="AR81" s="165">
        <f>VLOOKUP(AA81,'FY 2005 TABLE 15'!$A$11:$M$148,13,FALSE)-AJ81</f>
        <v>3.992901292804163E-05</v>
      </c>
    </row>
    <row r="82" spans="1:44" s="35" customFormat="1" ht="15">
      <c r="A82" s="59"/>
      <c r="B82" s="59"/>
      <c r="C82" s="59"/>
      <c r="D82" s="59"/>
      <c r="E82" s="59"/>
      <c r="F82" s="59"/>
      <c r="G82" s="59"/>
      <c r="H82" s="59"/>
      <c r="I82" s="156"/>
      <c r="J82" s="159"/>
      <c r="K82" s="59"/>
      <c r="L82" s="59"/>
      <c r="M82" s="59"/>
      <c r="N82" s="59"/>
      <c r="O82" s="59"/>
      <c r="P82" s="59"/>
      <c r="Q82" s="59"/>
      <c r="R82" s="59"/>
      <c r="S82" s="59"/>
      <c r="T82" s="59"/>
      <c r="U82" s="59"/>
      <c r="V82" s="59"/>
      <c r="W82" s="59"/>
      <c r="X82" s="59"/>
      <c r="Y82" s="59"/>
      <c r="Z82" s="59"/>
      <c r="AA82" s="113">
        <v>84</v>
      </c>
      <c r="AB82" s="114" t="s">
        <v>382</v>
      </c>
      <c r="AC82" s="115">
        <v>18446885.62</v>
      </c>
      <c r="AD82" s="115">
        <v>5048.616</v>
      </c>
      <c r="AE82" s="115">
        <v>3148117.82</v>
      </c>
      <c r="AF82" s="115">
        <v>861.5892</v>
      </c>
      <c r="AG82" s="115">
        <v>5039989.76</v>
      </c>
      <c r="AH82" s="115">
        <v>1379.3642</v>
      </c>
      <c r="AI82" s="115">
        <v>29612170.12</v>
      </c>
      <c r="AJ82" s="115">
        <v>8104.3749</v>
      </c>
      <c r="AK82" s="164">
        <f>VLOOKUP(AA82,'FY 2005 TABLE 15'!$A$11:$M$148,6,FALSE)-AC82</f>
        <v>0</v>
      </c>
      <c r="AL82" s="164">
        <f>VLOOKUP(AA82,'FY 2005 TABLE 15'!$A$11:$M$148,7,FALSE)-AD82</f>
        <v>1.3246301932667848E-05</v>
      </c>
      <c r="AM82" s="164">
        <f>VLOOKUP(AA82,'FY 2005 TABLE 15'!$A$11:$M$148,10,FALSE)-AE82</f>
        <v>0</v>
      </c>
      <c r="AN82" s="164">
        <f>VLOOKUP(AA82,'FY 2005 TABLE 15'!$A$11:$M$148,11,FALSE)-AF82</f>
        <v>3.32744912157068E-05</v>
      </c>
      <c r="AO82" s="164">
        <f>VLOOKUP(AA82,'FY 2005 TABLE 15'!$A$11:$M$148,4,FALSE)-AG82</f>
        <v>0</v>
      </c>
      <c r="AP82" s="164">
        <f>VLOOKUP(AA82,'FY 2005 TABLE 15'!$A$11:$M$148,5,FALSE)-AH82</f>
        <v>-3.343596426930162E-05</v>
      </c>
      <c r="AQ82" s="164">
        <f>VLOOKUP(AA82,'FY 2005 TABLE 15'!$A$11:$M$148,12,FALSE)-AI82</f>
        <v>0</v>
      </c>
      <c r="AR82" s="165">
        <f>VLOOKUP(AA82,'FY 2005 TABLE 15'!$A$11:$M$148,13,FALSE)-AJ82</f>
        <v>-2.9657757295353804E-05</v>
      </c>
    </row>
    <row r="83" spans="1:44" s="35" customFormat="1" ht="15">
      <c r="A83" s="59"/>
      <c r="B83" s="59"/>
      <c r="C83" s="59"/>
      <c r="D83" s="59"/>
      <c r="E83" s="59"/>
      <c r="F83" s="59"/>
      <c r="G83" s="59"/>
      <c r="H83" s="59"/>
      <c r="I83" s="156"/>
      <c r="J83" s="159"/>
      <c r="K83" s="59"/>
      <c r="L83" s="59"/>
      <c r="M83" s="59"/>
      <c r="N83" s="59"/>
      <c r="O83" s="59"/>
      <c r="P83" s="59"/>
      <c r="Q83" s="59"/>
      <c r="R83" s="59"/>
      <c r="S83" s="59"/>
      <c r="T83" s="59"/>
      <c r="U83" s="59"/>
      <c r="V83" s="59"/>
      <c r="W83" s="59"/>
      <c r="X83" s="59"/>
      <c r="Y83" s="59"/>
      <c r="Z83" s="59"/>
      <c r="AA83" s="113">
        <v>85</v>
      </c>
      <c r="AB83" s="114" t="s">
        <v>383</v>
      </c>
      <c r="AC83" s="115">
        <v>20429824.470000003</v>
      </c>
      <c r="AD83" s="115">
        <v>3486.2111</v>
      </c>
      <c r="AE83" s="115">
        <v>3123618.19</v>
      </c>
      <c r="AF83" s="115">
        <v>533.0243</v>
      </c>
      <c r="AG83" s="115">
        <v>21875887.09999997</v>
      </c>
      <c r="AH83" s="115">
        <v>3732.9719</v>
      </c>
      <c r="AI83" s="115">
        <v>50227274.53999998</v>
      </c>
      <c r="AJ83" s="115">
        <v>8570.944</v>
      </c>
      <c r="AK83" s="164">
        <f>VLOOKUP(AA83,'FY 2005 TABLE 15'!$A$11:$M$148,6,FALSE)-AC83</f>
        <v>0</v>
      </c>
      <c r="AL83" s="164">
        <f>VLOOKUP(AA83,'FY 2005 TABLE 15'!$A$11:$M$148,7,FALSE)-AD83</f>
        <v>-1.6040121408877894E-05</v>
      </c>
      <c r="AM83" s="164">
        <f>VLOOKUP(AA83,'FY 2005 TABLE 15'!$A$11:$M$148,10,FALSE)-AE83</f>
        <v>0</v>
      </c>
      <c r="AN83" s="164">
        <f>VLOOKUP(AA83,'FY 2005 TABLE 15'!$A$11:$M$148,11,FALSE)-AF83</f>
        <v>-2.6001590526902874E-05</v>
      </c>
      <c r="AO83" s="164">
        <f>VLOOKUP(AA83,'FY 2005 TABLE 15'!$A$11:$M$148,4,FALSE)-AG83</f>
        <v>0</v>
      </c>
      <c r="AP83" s="164">
        <f>VLOOKUP(AA83,'FY 2005 TABLE 15'!$A$11:$M$148,5,FALSE)-AH83</f>
        <v>-2.8828811537096044E-05</v>
      </c>
      <c r="AQ83" s="164">
        <f>VLOOKUP(AA83,'FY 2005 TABLE 15'!$A$11:$M$148,12,FALSE)-AI83</f>
        <v>0</v>
      </c>
      <c r="AR83" s="165">
        <f>VLOOKUP(AA83,'FY 2005 TABLE 15'!$A$11:$M$148,13,FALSE)-AJ83</f>
        <v>-1.1931377230212092E-05</v>
      </c>
    </row>
    <row r="84" spans="1:44" s="35" customFormat="1" ht="15">
      <c r="A84" s="59"/>
      <c r="B84" s="59"/>
      <c r="C84" s="59"/>
      <c r="D84" s="59"/>
      <c r="E84" s="59"/>
      <c r="F84" s="59"/>
      <c r="G84" s="59"/>
      <c r="H84" s="59"/>
      <c r="I84" s="156"/>
      <c r="J84" s="159"/>
      <c r="K84" s="59"/>
      <c r="L84" s="59"/>
      <c r="M84" s="59"/>
      <c r="N84" s="59"/>
      <c r="O84" s="59"/>
      <c r="P84" s="59"/>
      <c r="Q84" s="59"/>
      <c r="R84" s="59"/>
      <c r="S84" s="59"/>
      <c r="T84" s="59"/>
      <c r="U84" s="59"/>
      <c r="V84" s="59"/>
      <c r="W84" s="59"/>
      <c r="X84" s="59"/>
      <c r="Y84" s="59"/>
      <c r="Z84" s="59"/>
      <c r="AA84" s="113">
        <v>86</v>
      </c>
      <c r="AB84" s="114" t="s">
        <v>384</v>
      </c>
      <c r="AC84" s="115">
        <v>22447861.459999997</v>
      </c>
      <c r="AD84" s="115">
        <v>4519.4276</v>
      </c>
      <c r="AE84" s="115">
        <v>3963006.7</v>
      </c>
      <c r="AF84" s="115">
        <v>797.8721</v>
      </c>
      <c r="AG84" s="115">
        <v>7671720.830000016</v>
      </c>
      <c r="AH84" s="115">
        <v>1544.5474</v>
      </c>
      <c r="AI84" s="115">
        <v>38437100.110000014</v>
      </c>
      <c r="AJ84" s="115">
        <v>7738.5408</v>
      </c>
      <c r="AK84" s="164">
        <f>VLOOKUP(AA84,'FY 2005 TABLE 15'!$A$11:$M$148,6,FALSE)-AC84</f>
        <v>0</v>
      </c>
      <c r="AL84" s="164">
        <f>VLOOKUP(AA84,'FY 2005 TABLE 15'!$A$11:$M$148,7,FALSE)-AD84</f>
        <v>3.0929922104405705E-05</v>
      </c>
      <c r="AM84" s="164">
        <f>VLOOKUP(AA84,'FY 2005 TABLE 15'!$A$11:$M$148,10,FALSE)-AE84</f>
        <v>0</v>
      </c>
      <c r="AN84" s="164">
        <f>VLOOKUP(AA84,'FY 2005 TABLE 15'!$A$11:$M$148,11,FALSE)-AF84</f>
        <v>-1.7019833080667013E-05</v>
      </c>
      <c r="AO84" s="164">
        <f>VLOOKUP(AA84,'FY 2005 TABLE 15'!$A$11:$M$148,4,FALSE)-AG84</f>
        <v>0</v>
      </c>
      <c r="AP84" s="164">
        <f>VLOOKUP(AA84,'FY 2005 TABLE 15'!$A$11:$M$148,5,FALSE)-AH84</f>
        <v>4.6431126747847884E-05</v>
      </c>
      <c r="AQ84" s="164">
        <f>VLOOKUP(AA84,'FY 2005 TABLE 15'!$A$11:$M$148,12,FALSE)-AI84</f>
        <v>0</v>
      </c>
      <c r="AR84" s="165">
        <f>VLOOKUP(AA84,'FY 2005 TABLE 15'!$A$11:$M$148,13,FALSE)-AJ84</f>
        <v>2.2674591491522733E-05</v>
      </c>
    </row>
    <row r="85" spans="1:44" s="35" customFormat="1" ht="15">
      <c r="A85" s="59"/>
      <c r="B85" s="59"/>
      <c r="C85" s="59"/>
      <c r="D85" s="59"/>
      <c r="E85" s="59"/>
      <c r="F85" s="59"/>
      <c r="G85" s="59"/>
      <c r="H85" s="59"/>
      <c r="I85" s="156"/>
      <c r="J85" s="159"/>
      <c r="K85" s="59"/>
      <c r="L85" s="59"/>
      <c r="M85" s="59"/>
      <c r="N85" s="59"/>
      <c r="O85" s="59"/>
      <c r="P85" s="59"/>
      <c r="Q85" s="59"/>
      <c r="R85" s="59"/>
      <c r="S85" s="59"/>
      <c r="T85" s="59"/>
      <c r="U85" s="59"/>
      <c r="V85" s="59"/>
      <c r="W85" s="59"/>
      <c r="X85" s="59"/>
      <c r="Y85" s="59"/>
      <c r="Z85" s="59"/>
      <c r="AA85" s="113">
        <v>87</v>
      </c>
      <c r="AB85" s="114" t="s">
        <v>385</v>
      </c>
      <c r="AC85" s="115">
        <v>11626841.4</v>
      </c>
      <c r="AD85" s="115">
        <v>4152.8735</v>
      </c>
      <c r="AE85" s="115">
        <v>2084884.24</v>
      </c>
      <c r="AF85" s="115">
        <v>744.6786</v>
      </c>
      <c r="AG85" s="115">
        <v>7790703.969999991</v>
      </c>
      <c r="AH85" s="115">
        <v>2782.6825</v>
      </c>
      <c r="AI85" s="115">
        <v>24249473.109999992</v>
      </c>
      <c r="AJ85" s="115">
        <v>8661.4232</v>
      </c>
      <c r="AK85" s="164">
        <f>VLOOKUP(AA85,'FY 2005 TABLE 15'!$A$11:$M$148,6,FALSE)-AC85</f>
        <v>0</v>
      </c>
      <c r="AL85" s="164">
        <f>VLOOKUP(AA85,'FY 2005 TABLE 15'!$A$11:$M$148,7,FALSE)-AD85</f>
        <v>-2.381853755650809E-05</v>
      </c>
      <c r="AM85" s="164">
        <f>VLOOKUP(AA85,'FY 2005 TABLE 15'!$A$11:$M$148,10,FALSE)-AE85</f>
        <v>0</v>
      </c>
      <c r="AN85" s="164">
        <f>VLOOKUP(AA85,'FY 2005 TABLE 15'!$A$11:$M$148,11,FALSE)-AF85</f>
        <v>4.171646355644043E-05</v>
      </c>
      <c r="AO85" s="164">
        <f>VLOOKUP(AA85,'FY 2005 TABLE 15'!$A$11:$M$148,4,FALSE)-AG85</f>
        <v>0</v>
      </c>
      <c r="AP85" s="164">
        <f>VLOOKUP(AA85,'FY 2005 TABLE 15'!$A$11:$M$148,5,FALSE)-AH85</f>
        <v>-1.8600142993818736E-05</v>
      </c>
      <c r="AQ85" s="164">
        <f>VLOOKUP(AA85,'FY 2005 TABLE 15'!$A$11:$M$148,12,FALSE)-AI85</f>
        <v>0</v>
      </c>
      <c r="AR85" s="165">
        <f>VLOOKUP(AA85,'FY 2005 TABLE 15'!$A$11:$M$148,13,FALSE)-AJ85</f>
        <v>-1.3312810551724397E-05</v>
      </c>
    </row>
    <row r="86" spans="1:44" s="35" customFormat="1" ht="15">
      <c r="A86" s="59"/>
      <c r="B86" s="59"/>
      <c r="C86" s="59"/>
      <c r="D86" s="59"/>
      <c r="E86" s="59"/>
      <c r="F86" s="59"/>
      <c r="G86" s="59"/>
      <c r="H86" s="59"/>
      <c r="I86" s="156"/>
      <c r="J86" s="159"/>
      <c r="K86" s="59"/>
      <c r="L86" s="59"/>
      <c r="M86" s="59"/>
      <c r="N86" s="59"/>
      <c r="O86" s="59"/>
      <c r="P86" s="59"/>
      <c r="Q86" s="59"/>
      <c r="R86" s="59"/>
      <c r="S86" s="59"/>
      <c r="T86" s="59"/>
      <c r="U86" s="59"/>
      <c r="V86" s="59"/>
      <c r="W86" s="59"/>
      <c r="X86" s="59"/>
      <c r="Y86" s="59"/>
      <c r="Z86" s="59"/>
      <c r="AA86" s="113">
        <v>88</v>
      </c>
      <c r="AB86" s="114" t="s">
        <v>386</v>
      </c>
      <c r="AC86" s="115">
        <v>73133185.99000002</v>
      </c>
      <c r="AD86" s="115">
        <v>3210.3514</v>
      </c>
      <c r="AE86" s="115">
        <v>9327205.32</v>
      </c>
      <c r="AF86" s="115">
        <v>409.4394</v>
      </c>
      <c r="AG86" s="115">
        <v>82427582.4600001</v>
      </c>
      <c r="AH86" s="115">
        <v>3618.3506</v>
      </c>
      <c r="AI86" s="115">
        <v>182911851.2300001</v>
      </c>
      <c r="AJ86" s="115">
        <v>8029.3415</v>
      </c>
      <c r="AK86" s="164">
        <f>VLOOKUP(AA86,'FY 2005 TABLE 15'!$A$11:$M$148,6,FALSE)-AC86</f>
        <v>0</v>
      </c>
      <c r="AL86" s="164">
        <f>VLOOKUP(AA86,'FY 2005 TABLE 15'!$A$11:$M$148,7,FALSE)-AD86</f>
        <v>2.8397094411047874E-05</v>
      </c>
      <c r="AM86" s="164">
        <f>VLOOKUP(AA86,'FY 2005 TABLE 15'!$A$11:$M$148,10,FALSE)-AE86</f>
        <v>0</v>
      </c>
      <c r="AN86" s="164">
        <f>VLOOKUP(AA86,'FY 2005 TABLE 15'!$A$11:$M$148,11,FALSE)-AF86</f>
        <v>-1.1893629732639965E-05</v>
      </c>
      <c r="AO86" s="164">
        <f>VLOOKUP(AA86,'FY 2005 TABLE 15'!$A$11:$M$148,4,FALSE)-AG86</f>
        <v>0</v>
      </c>
      <c r="AP86" s="164">
        <f>VLOOKUP(AA86,'FY 2005 TABLE 15'!$A$11:$M$148,5,FALSE)-AH86</f>
        <v>-4.335208814154612E-06</v>
      </c>
      <c r="AQ86" s="164">
        <f>VLOOKUP(AA86,'FY 2005 TABLE 15'!$A$11:$M$148,12,FALSE)-AI86</f>
        <v>0</v>
      </c>
      <c r="AR86" s="165">
        <f>VLOOKUP(AA86,'FY 2005 TABLE 15'!$A$11:$M$148,13,FALSE)-AJ86</f>
        <v>-3.322346856293734E-05</v>
      </c>
    </row>
    <row r="87" spans="1:44" s="35" customFormat="1" ht="15">
      <c r="A87" s="59"/>
      <c r="B87" s="59"/>
      <c r="C87" s="59"/>
      <c r="D87" s="59"/>
      <c r="E87" s="59"/>
      <c r="F87" s="59"/>
      <c r="G87" s="59"/>
      <c r="H87" s="59"/>
      <c r="I87" s="156"/>
      <c r="J87" s="159"/>
      <c r="K87" s="59"/>
      <c r="L87" s="59"/>
      <c r="M87" s="59"/>
      <c r="N87" s="59"/>
      <c r="O87" s="59"/>
      <c r="P87" s="59"/>
      <c r="Q87" s="59"/>
      <c r="R87" s="59"/>
      <c r="S87" s="59"/>
      <c r="T87" s="59"/>
      <c r="U87" s="59"/>
      <c r="V87" s="59"/>
      <c r="W87" s="59"/>
      <c r="X87" s="59"/>
      <c r="Y87" s="59"/>
      <c r="Z87" s="59"/>
      <c r="AA87" s="113">
        <v>89</v>
      </c>
      <c r="AB87" s="114" t="s">
        <v>387</v>
      </c>
      <c r="AC87" s="115">
        <v>85134680.41</v>
      </c>
      <c r="AD87" s="115">
        <v>3342.6103</v>
      </c>
      <c r="AE87" s="115">
        <v>9702098.39</v>
      </c>
      <c r="AF87" s="115">
        <v>380.9298</v>
      </c>
      <c r="AG87" s="115">
        <v>78372554.22000025</v>
      </c>
      <c r="AH87" s="115">
        <v>3077.1116</v>
      </c>
      <c r="AI87" s="115">
        <v>192595272.80000025</v>
      </c>
      <c r="AJ87" s="115">
        <v>7561.7944</v>
      </c>
      <c r="AK87" s="164">
        <f>VLOOKUP(AA87,'FY 2005 TABLE 15'!$A$11:$M$148,6,FALSE)-AC87</f>
        <v>0</v>
      </c>
      <c r="AL87" s="164">
        <f>VLOOKUP(AA87,'FY 2005 TABLE 15'!$A$11:$M$148,7,FALSE)-AD87</f>
        <v>2.0492886960710166E-05</v>
      </c>
      <c r="AM87" s="164">
        <f>VLOOKUP(AA87,'FY 2005 TABLE 15'!$A$11:$M$148,10,FALSE)-AE87</f>
        <v>0</v>
      </c>
      <c r="AN87" s="164">
        <f>VLOOKUP(AA87,'FY 2005 TABLE 15'!$A$11:$M$148,11,FALSE)-AF87</f>
        <v>-3.0220278972592496E-05</v>
      </c>
      <c r="AO87" s="164">
        <f>VLOOKUP(AA87,'FY 2005 TABLE 15'!$A$11:$M$148,4,FALSE)-AG87</f>
        <v>0</v>
      </c>
      <c r="AP87" s="164">
        <f>VLOOKUP(AA87,'FY 2005 TABLE 15'!$A$11:$M$148,5,FALSE)-AH87</f>
        <v>-4.783881831826875E-05</v>
      </c>
      <c r="AQ87" s="164">
        <f>VLOOKUP(AA87,'FY 2005 TABLE 15'!$A$11:$M$148,12,FALSE)-AI87</f>
        <v>0</v>
      </c>
      <c r="AR87" s="165">
        <f>VLOOKUP(AA87,'FY 2005 TABLE 15'!$A$11:$M$148,13,FALSE)-AJ87</f>
        <v>-3.5598933209257666E-05</v>
      </c>
    </row>
    <row r="88" spans="1:44" s="35" customFormat="1" ht="15">
      <c r="A88" s="59"/>
      <c r="B88" s="59"/>
      <c r="C88" s="59"/>
      <c r="D88" s="59"/>
      <c r="E88" s="59"/>
      <c r="F88" s="59"/>
      <c r="G88" s="59"/>
      <c r="H88" s="59"/>
      <c r="I88" s="156"/>
      <c r="J88" s="159"/>
      <c r="K88" s="59"/>
      <c r="L88" s="59"/>
      <c r="M88" s="59"/>
      <c r="N88" s="59"/>
      <c r="O88" s="59"/>
      <c r="P88" s="59"/>
      <c r="Q88" s="59"/>
      <c r="R88" s="59"/>
      <c r="S88" s="59"/>
      <c r="T88" s="59"/>
      <c r="U88" s="59"/>
      <c r="V88" s="59"/>
      <c r="W88" s="59"/>
      <c r="X88" s="59"/>
      <c r="Y88" s="59"/>
      <c r="Z88" s="59"/>
      <c r="AA88" s="113">
        <v>90</v>
      </c>
      <c r="AB88" s="114" t="s">
        <v>388</v>
      </c>
      <c r="AC88" s="115">
        <v>1762859.8</v>
      </c>
      <c r="AD88" s="115">
        <v>1670.6563</v>
      </c>
      <c r="AE88" s="115">
        <v>816345.58</v>
      </c>
      <c r="AF88" s="115">
        <v>773.6479</v>
      </c>
      <c r="AG88" s="115">
        <v>9226955.520000007</v>
      </c>
      <c r="AH88" s="115">
        <v>8744.3546</v>
      </c>
      <c r="AI88" s="115">
        <v>12614400.300000008</v>
      </c>
      <c r="AJ88" s="115">
        <v>11954.6246</v>
      </c>
      <c r="AK88" s="164">
        <f>VLOOKUP(AA88,'FY 2005 TABLE 15'!$A$11:$M$148,6,FALSE)-AC88</f>
        <v>0</v>
      </c>
      <c r="AL88" s="164">
        <f>VLOOKUP(AA88,'FY 2005 TABLE 15'!$A$11:$M$148,7,FALSE)-AD88</f>
        <v>-2.0088325527467532E-05</v>
      </c>
      <c r="AM88" s="164">
        <f>VLOOKUP(AA88,'FY 2005 TABLE 15'!$A$11:$M$148,10,FALSE)-AE88</f>
        <v>0</v>
      </c>
      <c r="AN88" s="164">
        <f>VLOOKUP(AA88,'FY 2005 TABLE 15'!$A$11:$M$148,11,FALSE)-AF88</f>
        <v>4.9658355237625074E-05</v>
      </c>
      <c r="AO88" s="164">
        <f>VLOOKUP(AA88,'FY 2005 TABLE 15'!$A$11:$M$148,4,FALSE)-AG88</f>
        <v>0</v>
      </c>
      <c r="AP88" s="164">
        <f>VLOOKUP(AA88,'FY 2005 TABLE 15'!$A$11:$M$148,5,FALSE)-AH88</f>
        <v>-9.83139943855349E-06</v>
      </c>
      <c r="AQ88" s="164">
        <f>VLOOKUP(AA88,'FY 2005 TABLE 15'!$A$11:$M$148,12,FALSE)-AI88</f>
        <v>0</v>
      </c>
      <c r="AR88" s="165">
        <f>VLOOKUP(AA88,'FY 2005 TABLE 15'!$A$11:$M$148,13,FALSE)-AJ88</f>
        <v>-3.0017334211152047E-05</v>
      </c>
    </row>
    <row r="89" spans="1:44" s="35" customFormat="1" ht="15">
      <c r="A89" s="59"/>
      <c r="B89" s="59"/>
      <c r="C89" s="59"/>
      <c r="D89" s="59"/>
      <c r="E89" s="59"/>
      <c r="F89" s="59"/>
      <c r="G89" s="59"/>
      <c r="H89" s="59"/>
      <c r="I89" s="156"/>
      <c r="J89" s="159"/>
      <c r="K89" s="59"/>
      <c r="L89" s="59"/>
      <c r="M89" s="59"/>
      <c r="N89" s="59"/>
      <c r="O89" s="59"/>
      <c r="P89" s="59"/>
      <c r="Q89" s="59"/>
      <c r="R89" s="59"/>
      <c r="S89" s="59"/>
      <c r="T89" s="59"/>
      <c r="U89" s="59"/>
      <c r="V89" s="59"/>
      <c r="W89" s="59"/>
      <c r="X89" s="59"/>
      <c r="Y89" s="59"/>
      <c r="Z89" s="59"/>
      <c r="AA89" s="113">
        <v>91</v>
      </c>
      <c r="AB89" s="114" t="s">
        <v>389</v>
      </c>
      <c r="AC89" s="115">
        <v>6591234.220000002</v>
      </c>
      <c r="AD89" s="115">
        <v>4817.2733</v>
      </c>
      <c r="AE89" s="115">
        <v>1721792.01</v>
      </c>
      <c r="AF89" s="115">
        <v>1258.3899</v>
      </c>
      <c r="AG89" s="115">
        <v>7292902.42</v>
      </c>
      <c r="AH89" s="115">
        <v>5330.095</v>
      </c>
      <c r="AI89" s="115">
        <v>16633210.63</v>
      </c>
      <c r="AJ89" s="115">
        <v>12156.5581</v>
      </c>
      <c r="AK89" s="164">
        <f>VLOOKUP(AA89,'FY 2005 TABLE 15'!$A$11:$M$148,6,FALSE)-AC89</f>
        <v>0</v>
      </c>
      <c r="AL89" s="164">
        <f>VLOOKUP(AA89,'FY 2005 TABLE 15'!$A$11:$M$148,7,FALSE)-AD89</f>
        <v>1.9934223928430583E-05</v>
      </c>
      <c r="AM89" s="164">
        <f>VLOOKUP(AA89,'FY 2005 TABLE 15'!$A$11:$M$148,10,FALSE)-AE89</f>
        <v>0</v>
      </c>
      <c r="AN89" s="164">
        <f>VLOOKUP(AA89,'FY 2005 TABLE 15'!$A$11:$M$148,11,FALSE)-AF89</f>
        <v>2.143248684660648E-05</v>
      </c>
      <c r="AO89" s="164">
        <f>VLOOKUP(AA89,'FY 2005 TABLE 15'!$A$11:$M$148,4,FALSE)-AG89</f>
        <v>0</v>
      </c>
      <c r="AP89" s="164">
        <f>VLOOKUP(AA89,'FY 2005 TABLE 15'!$A$11:$M$148,5,FALSE)-AH89</f>
        <v>-4.6592363105446566E-05</v>
      </c>
      <c r="AQ89" s="164">
        <f>VLOOKUP(AA89,'FY 2005 TABLE 15'!$A$11:$M$148,12,FALSE)-AI89</f>
        <v>0</v>
      </c>
      <c r="AR89" s="165">
        <f>VLOOKUP(AA89,'FY 2005 TABLE 15'!$A$11:$M$148,13,FALSE)-AJ89</f>
        <v>7.071075742715038E-06</v>
      </c>
    </row>
    <row r="90" spans="1:44" s="35" customFormat="1" ht="15">
      <c r="A90" s="59"/>
      <c r="B90" s="59"/>
      <c r="C90" s="59"/>
      <c r="D90" s="59"/>
      <c r="E90" s="59"/>
      <c r="F90" s="59"/>
      <c r="G90" s="59"/>
      <c r="H90" s="59"/>
      <c r="I90" s="156"/>
      <c r="J90" s="159"/>
      <c r="K90" s="59"/>
      <c r="L90" s="59"/>
      <c r="M90" s="59"/>
      <c r="N90" s="59"/>
      <c r="O90" s="59"/>
      <c r="P90" s="59"/>
      <c r="Q90" s="59"/>
      <c r="R90" s="59"/>
      <c r="S90" s="59"/>
      <c r="T90" s="59"/>
      <c r="U90" s="59"/>
      <c r="V90" s="59"/>
      <c r="W90" s="59"/>
      <c r="X90" s="59"/>
      <c r="Y90" s="59"/>
      <c r="Z90" s="59"/>
      <c r="AA90" s="113">
        <v>92</v>
      </c>
      <c r="AB90" s="114" t="s">
        <v>390</v>
      </c>
      <c r="AC90" s="115">
        <v>30470361.64</v>
      </c>
      <c r="AD90" s="115">
        <v>4470.8039</v>
      </c>
      <c r="AE90" s="115">
        <v>5673337.669999999</v>
      </c>
      <c r="AF90" s="115">
        <v>832.4279</v>
      </c>
      <c r="AG90" s="115">
        <v>10647593.559999943</v>
      </c>
      <c r="AH90" s="115">
        <v>1562.2822</v>
      </c>
      <c r="AI90" s="115">
        <v>52579285.20999994</v>
      </c>
      <c r="AJ90" s="115">
        <v>7714.7648</v>
      </c>
      <c r="AK90" s="164">
        <f>VLOOKUP(AA90,'FY 2005 TABLE 15'!$A$11:$M$148,6,FALSE)-AC90</f>
        <v>0</v>
      </c>
      <c r="AL90" s="164">
        <f>VLOOKUP(AA90,'FY 2005 TABLE 15'!$A$11:$M$148,7,FALSE)-AD90</f>
        <v>4.680716301663779E-06</v>
      </c>
      <c r="AM90" s="164">
        <f>VLOOKUP(AA90,'FY 2005 TABLE 15'!$A$11:$M$148,10,FALSE)-AE90</f>
        <v>0</v>
      </c>
      <c r="AN90" s="164">
        <f>VLOOKUP(AA90,'FY 2005 TABLE 15'!$A$11:$M$148,11,FALSE)-AF90</f>
        <v>3.463636073774978E-05</v>
      </c>
      <c r="AO90" s="164">
        <f>VLOOKUP(AA90,'FY 2005 TABLE 15'!$A$11:$M$148,4,FALSE)-AG90</f>
        <v>0</v>
      </c>
      <c r="AP90" s="164">
        <f>VLOOKUP(AA90,'FY 2005 TABLE 15'!$A$11:$M$148,5,FALSE)-AH90</f>
        <v>-2.4753031311774976E-05</v>
      </c>
      <c r="AQ90" s="164">
        <f>VLOOKUP(AA90,'FY 2005 TABLE 15'!$A$11:$M$148,12,FALSE)-AI90</f>
        <v>0</v>
      </c>
      <c r="AR90" s="165">
        <f>VLOOKUP(AA90,'FY 2005 TABLE 15'!$A$11:$M$148,13,FALSE)-AJ90</f>
        <v>6.519335329358E-06</v>
      </c>
    </row>
    <row r="91" spans="1:44" s="35" customFormat="1" ht="15">
      <c r="A91" s="59"/>
      <c r="B91" s="59"/>
      <c r="C91" s="59"/>
      <c r="D91" s="59"/>
      <c r="E91" s="59"/>
      <c r="F91" s="59"/>
      <c r="G91" s="59"/>
      <c r="H91" s="59"/>
      <c r="I91" s="156"/>
      <c r="J91" s="159"/>
      <c r="K91" s="59"/>
      <c r="L91" s="59"/>
      <c r="M91" s="59"/>
      <c r="N91" s="59"/>
      <c r="O91" s="59"/>
      <c r="P91" s="59"/>
      <c r="Q91" s="59"/>
      <c r="R91" s="59"/>
      <c r="S91" s="59"/>
      <c r="T91" s="59"/>
      <c r="U91" s="59"/>
      <c r="V91" s="59"/>
      <c r="W91" s="59"/>
      <c r="X91" s="59"/>
      <c r="Y91" s="59"/>
      <c r="Z91" s="59"/>
      <c r="AA91" s="113">
        <v>93</v>
      </c>
      <c r="AB91" s="114" t="s">
        <v>391</v>
      </c>
      <c r="AC91" s="115">
        <v>17289605.52</v>
      </c>
      <c r="AD91" s="115">
        <v>3336.8083</v>
      </c>
      <c r="AE91" s="115">
        <v>2618213.41</v>
      </c>
      <c r="AF91" s="115">
        <v>505.3022</v>
      </c>
      <c r="AG91" s="115">
        <v>13918487.419999974</v>
      </c>
      <c r="AH91" s="115">
        <v>2686.1992</v>
      </c>
      <c r="AI91" s="115">
        <v>38126056.76999997</v>
      </c>
      <c r="AJ91" s="115">
        <v>7358.1403</v>
      </c>
      <c r="AK91" s="164">
        <f>VLOOKUP(AA91,'FY 2005 TABLE 15'!$A$11:$M$148,6,FALSE)-AC91</f>
        <v>0</v>
      </c>
      <c r="AL91" s="164">
        <f>VLOOKUP(AA91,'FY 2005 TABLE 15'!$A$11:$M$148,7,FALSE)-AD91</f>
        <v>9.5949421847763E-06</v>
      </c>
      <c r="AM91" s="164">
        <f>VLOOKUP(AA91,'FY 2005 TABLE 15'!$A$11:$M$148,10,FALSE)-AE91</f>
        <v>0</v>
      </c>
      <c r="AN91" s="164">
        <f>VLOOKUP(AA91,'FY 2005 TABLE 15'!$A$11:$M$148,11,FALSE)-AF91</f>
        <v>3.218076693656258E-05</v>
      </c>
      <c r="AO91" s="164">
        <f>VLOOKUP(AA91,'FY 2005 TABLE 15'!$A$11:$M$148,4,FALSE)-AG91</f>
        <v>0</v>
      </c>
      <c r="AP91" s="164">
        <f>VLOOKUP(AA91,'FY 2005 TABLE 15'!$A$11:$M$148,5,FALSE)-AH91</f>
        <v>-2.087440407194663E-06</v>
      </c>
      <c r="AQ91" s="164">
        <f>VLOOKUP(AA91,'FY 2005 TABLE 15'!$A$11:$M$148,12,FALSE)-AI91</f>
        <v>0</v>
      </c>
      <c r="AR91" s="165">
        <f>VLOOKUP(AA91,'FY 2005 TABLE 15'!$A$11:$M$148,13,FALSE)-AJ91</f>
        <v>-6.107139597588684E-06</v>
      </c>
    </row>
    <row r="92" spans="1:44" s="35" customFormat="1" ht="15">
      <c r="A92" s="59"/>
      <c r="B92" s="59"/>
      <c r="C92" s="59"/>
      <c r="D92" s="59"/>
      <c r="E92" s="59"/>
      <c r="F92" s="59"/>
      <c r="G92" s="59"/>
      <c r="H92" s="59"/>
      <c r="I92" s="156"/>
      <c r="J92" s="159"/>
      <c r="K92" s="59"/>
      <c r="L92" s="59"/>
      <c r="M92" s="59"/>
      <c r="N92" s="59"/>
      <c r="O92" s="59"/>
      <c r="P92" s="59"/>
      <c r="Q92" s="59"/>
      <c r="R92" s="59"/>
      <c r="S92" s="59"/>
      <c r="T92" s="59"/>
      <c r="U92" s="59"/>
      <c r="V92" s="59"/>
      <c r="W92" s="59"/>
      <c r="X92" s="59"/>
      <c r="Y92" s="59"/>
      <c r="Z92" s="59"/>
      <c r="AA92" s="113">
        <v>94</v>
      </c>
      <c r="AB92" s="114" t="s">
        <v>392</v>
      </c>
      <c r="AC92" s="115">
        <v>26822039.440000005</v>
      </c>
      <c r="AD92" s="115">
        <v>3725.2056</v>
      </c>
      <c r="AE92" s="115">
        <v>5358908.55</v>
      </c>
      <c r="AF92" s="115">
        <v>744.2773</v>
      </c>
      <c r="AG92" s="115">
        <v>19033183.679999985</v>
      </c>
      <c r="AH92" s="115">
        <v>2643.4427</v>
      </c>
      <c r="AI92" s="115">
        <v>56425404.26999999</v>
      </c>
      <c r="AJ92" s="115">
        <v>7836.6984</v>
      </c>
      <c r="AK92" s="164">
        <f>VLOOKUP(AA92,'FY 2005 TABLE 15'!$A$11:$M$148,6,FALSE)-AC92</f>
        <v>0</v>
      </c>
      <c r="AL92" s="164">
        <f>VLOOKUP(AA92,'FY 2005 TABLE 15'!$A$11:$M$148,7,FALSE)-AD92</f>
        <v>4.71045755148225E-05</v>
      </c>
      <c r="AM92" s="164">
        <f>VLOOKUP(AA92,'FY 2005 TABLE 15'!$A$11:$M$148,10,FALSE)-AE92</f>
        <v>0</v>
      </c>
      <c r="AN92" s="164">
        <f>VLOOKUP(AA92,'FY 2005 TABLE 15'!$A$11:$M$148,11,FALSE)-AF92</f>
        <v>4.838857523736806E-05</v>
      </c>
      <c r="AO92" s="164">
        <f>VLOOKUP(AA92,'FY 2005 TABLE 15'!$A$11:$M$148,4,FALSE)-AG92</f>
        <v>0</v>
      </c>
      <c r="AP92" s="164">
        <f>VLOOKUP(AA92,'FY 2005 TABLE 15'!$A$11:$M$148,5,FALSE)-AH92</f>
        <v>-3.838878546957858E-05</v>
      </c>
      <c r="AQ92" s="164">
        <f>VLOOKUP(AA92,'FY 2005 TABLE 15'!$A$11:$M$148,12,FALSE)-AI92</f>
        <v>0</v>
      </c>
      <c r="AR92" s="165">
        <f>VLOOKUP(AA92,'FY 2005 TABLE 15'!$A$11:$M$148,13,FALSE)-AJ92</f>
        <v>3.9615840250917245E-05</v>
      </c>
    </row>
    <row r="93" spans="1:44" s="35" customFormat="1" ht="15">
      <c r="A93" s="59"/>
      <c r="B93" s="59"/>
      <c r="C93" s="59"/>
      <c r="D93" s="59"/>
      <c r="E93" s="59"/>
      <c r="F93" s="59"/>
      <c r="G93" s="59"/>
      <c r="H93" s="59"/>
      <c r="I93" s="156"/>
      <c r="J93" s="159"/>
      <c r="K93" s="59"/>
      <c r="L93" s="59"/>
      <c r="M93" s="59"/>
      <c r="N93" s="59"/>
      <c r="O93" s="59"/>
      <c r="P93" s="59"/>
      <c r="Q93" s="59"/>
      <c r="R93" s="59"/>
      <c r="S93" s="59"/>
      <c r="T93" s="59"/>
      <c r="U93" s="59"/>
      <c r="V93" s="59"/>
      <c r="W93" s="59"/>
      <c r="X93" s="59"/>
      <c r="Y93" s="59"/>
      <c r="Z93" s="59"/>
      <c r="AA93" s="113">
        <v>95</v>
      </c>
      <c r="AB93" s="114" t="s">
        <v>393</v>
      </c>
      <c r="AC93" s="115">
        <v>6602105.929999999</v>
      </c>
      <c r="AD93" s="115">
        <v>3640.3118</v>
      </c>
      <c r="AE93" s="115">
        <v>1841418.61</v>
      </c>
      <c r="AF93" s="115">
        <v>1015.3333</v>
      </c>
      <c r="AG93" s="115">
        <v>5195069.1</v>
      </c>
      <c r="AH93" s="115">
        <v>2864.4908</v>
      </c>
      <c r="AI93" s="115">
        <v>15425995.169999996</v>
      </c>
      <c r="AJ93" s="115">
        <v>8505.6849</v>
      </c>
      <c r="AK93" s="164">
        <f>VLOOKUP(AA93,'FY 2005 TABLE 15'!$A$11:$M$148,6,FALSE)-AC93</f>
        <v>0</v>
      </c>
      <c r="AL93" s="164">
        <f>VLOOKUP(AA93,'FY 2005 TABLE 15'!$A$11:$M$148,7,FALSE)-AD93</f>
        <v>2.558543428676785E-05</v>
      </c>
      <c r="AM93" s="164">
        <f>VLOOKUP(AA93,'FY 2005 TABLE 15'!$A$11:$M$148,10,FALSE)-AE93</f>
        <v>0</v>
      </c>
      <c r="AN93" s="164">
        <f>VLOOKUP(AA93,'FY 2005 TABLE 15'!$A$11:$M$148,11,FALSE)-AF93</f>
        <v>-8.9396286284682E-06</v>
      </c>
      <c r="AO93" s="164">
        <f>VLOOKUP(AA93,'FY 2005 TABLE 15'!$A$11:$M$148,4,FALSE)-AG93</f>
        <v>0</v>
      </c>
      <c r="AP93" s="164">
        <f>VLOOKUP(AA93,'FY 2005 TABLE 15'!$A$11:$M$148,5,FALSE)-AH93</f>
        <v>-3.296629438409582E-05</v>
      </c>
      <c r="AQ93" s="164">
        <f>VLOOKUP(AA93,'FY 2005 TABLE 15'!$A$11:$M$148,12,FALSE)-AI93</f>
        <v>0</v>
      </c>
      <c r="AR93" s="165">
        <f>VLOOKUP(AA93,'FY 2005 TABLE 15'!$A$11:$M$148,13,FALSE)-AJ93</f>
        <v>-1.1848745998577215E-05</v>
      </c>
    </row>
    <row r="94" spans="1:44" s="35" customFormat="1" ht="15">
      <c r="A94" s="59"/>
      <c r="B94" s="59"/>
      <c r="C94" s="59"/>
      <c r="D94" s="59"/>
      <c r="E94" s="59"/>
      <c r="F94" s="59"/>
      <c r="G94" s="59"/>
      <c r="H94" s="59"/>
      <c r="I94" s="156"/>
      <c r="J94" s="159"/>
      <c r="K94" s="59"/>
      <c r="L94" s="59"/>
      <c r="M94" s="59"/>
      <c r="N94" s="59"/>
      <c r="O94" s="59"/>
      <c r="P94" s="59"/>
      <c r="Q94" s="59"/>
      <c r="R94" s="59"/>
      <c r="S94" s="59"/>
      <c r="T94" s="59"/>
      <c r="U94" s="59"/>
      <c r="V94" s="59"/>
      <c r="W94" s="59"/>
      <c r="X94" s="59"/>
      <c r="Y94" s="59"/>
      <c r="Z94" s="59"/>
      <c r="AA94" s="113">
        <v>96</v>
      </c>
      <c r="AB94" s="114" t="s">
        <v>394</v>
      </c>
      <c r="AC94" s="115">
        <v>30369300.339999996</v>
      </c>
      <c r="AD94" s="115">
        <v>4580.2774</v>
      </c>
      <c r="AE94" s="115">
        <v>8410322.77</v>
      </c>
      <c r="AF94" s="115">
        <v>1268.4392</v>
      </c>
      <c r="AG94" s="115">
        <v>10818445.970000044</v>
      </c>
      <c r="AH94" s="115">
        <v>1631.6307</v>
      </c>
      <c r="AI94" s="115">
        <v>55122655.74000004</v>
      </c>
      <c r="AJ94" s="115">
        <v>8313.5618</v>
      </c>
      <c r="AK94" s="164">
        <f>VLOOKUP(AA94,'FY 2005 TABLE 15'!$A$11:$M$148,6,FALSE)-AC94</f>
        <v>0</v>
      </c>
      <c r="AL94" s="164">
        <f>VLOOKUP(AA94,'FY 2005 TABLE 15'!$A$11:$M$148,7,FALSE)-AD94</f>
        <v>8.019062988751102E-06</v>
      </c>
      <c r="AM94" s="164">
        <f>VLOOKUP(AA94,'FY 2005 TABLE 15'!$A$11:$M$148,10,FALSE)-AE94</f>
        <v>0</v>
      </c>
      <c r="AN94" s="164">
        <f>VLOOKUP(AA94,'FY 2005 TABLE 15'!$A$11:$M$148,11,FALSE)-AF94</f>
        <v>1.1516563745317399E-05</v>
      </c>
      <c r="AO94" s="164">
        <f>VLOOKUP(AA94,'FY 2005 TABLE 15'!$A$11:$M$148,4,FALSE)-AG94</f>
        <v>0</v>
      </c>
      <c r="AP94" s="164">
        <f>VLOOKUP(AA94,'FY 2005 TABLE 15'!$A$11:$M$148,5,FALSE)-AH94</f>
        <v>2.9437677994792466E-05</v>
      </c>
      <c r="AQ94" s="164">
        <f>VLOOKUP(AA94,'FY 2005 TABLE 15'!$A$11:$M$148,12,FALSE)-AI94</f>
        <v>0</v>
      </c>
      <c r="AR94" s="165">
        <f>VLOOKUP(AA94,'FY 2005 TABLE 15'!$A$11:$M$148,13,FALSE)-AJ94</f>
        <v>-1.4600811482523568E-05</v>
      </c>
    </row>
    <row r="95" spans="1:44" s="35" customFormat="1" ht="15">
      <c r="A95" s="59"/>
      <c r="B95" s="59"/>
      <c r="C95" s="59"/>
      <c r="D95" s="59"/>
      <c r="E95" s="59"/>
      <c r="F95" s="59"/>
      <c r="G95" s="59"/>
      <c r="H95" s="59"/>
      <c r="I95" s="156"/>
      <c r="J95" s="159"/>
      <c r="K95" s="59"/>
      <c r="L95" s="59"/>
      <c r="M95" s="59"/>
      <c r="N95" s="59"/>
      <c r="O95" s="59"/>
      <c r="P95" s="59"/>
      <c r="Q95" s="59"/>
      <c r="R95" s="59"/>
      <c r="S95" s="59"/>
      <c r="T95" s="59"/>
      <c r="U95" s="59"/>
      <c r="V95" s="59"/>
      <c r="W95" s="59"/>
      <c r="X95" s="59"/>
      <c r="Y95" s="59"/>
      <c r="Z95" s="59"/>
      <c r="AA95" s="113">
        <v>97</v>
      </c>
      <c r="AB95" s="114" t="s">
        <v>395</v>
      </c>
      <c r="AC95" s="115">
        <v>16599714.120000001</v>
      </c>
      <c r="AD95" s="115">
        <v>3973.8093</v>
      </c>
      <c r="AE95" s="115">
        <v>3711467.14</v>
      </c>
      <c r="AF95" s="115">
        <v>888.489</v>
      </c>
      <c r="AG95" s="115">
        <v>9162352.429999985</v>
      </c>
      <c r="AH95" s="115">
        <v>2193.3776</v>
      </c>
      <c r="AI95" s="115">
        <v>33073872.849999987</v>
      </c>
      <c r="AJ95" s="115">
        <v>7917.5619</v>
      </c>
      <c r="AK95" s="164">
        <f>VLOOKUP(AA95,'FY 2005 TABLE 15'!$A$11:$M$148,6,FALSE)-AC95</f>
        <v>0</v>
      </c>
      <c r="AL95" s="164">
        <f>VLOOKUP(AA95,'FY 2005 TABLE 15'!$A$11:$M$148,7,FALSE)-AD95</f>
        <v>1.7465918062953278E-06</v>
      </c>
      <c r="AM95" s="164">
        <f>VLOOKUP(AA95,'FY 2005 TABLE 15'!$A$11:$M$148,10,FALSE)-AE95</f>
        <v>0</v>
      </c>
      <c r="AN95" s="164">
        <f>VLOOKUP(AA95,'FY 2005 TABLE 15'!$A$11:$M$148,11,FALSE)-AF95</f>
        <v>-4.546499155821948E-05</v>
      </c>
      <c r="AO95" s="164">
        <f>VLOOKUP(AA95,'FY 2005 TABLE 15'!$A$11:$M$148,4,FALSE)-AG95</f>
        <v>0</v>
      </c>
      <c r="AP95" s="164">
        <f>VLOOKUP(AA95,'FY 2005 TABLE 15'!$A$11:$M$148,5,FALSE)-AH95</f>
        <v>1.1747353710234165E-05</v>
      </c>
      <c r="AQ95" s="164">
        <f>VLOOKUP(AA95,'FY 2005 TABLE 15'!$A$11:$M$148,12,FALSE)-AI95</f>
        <v>0</v>
      </c>
      <c r="AR95" s="165">
        <f>VLOOKUP(AA95,'FY 2005 TABLE 15'!$A$11:$M$148,13,FALSE)-AJ95</f>
        <v>-2.959629455290269E-05</v>
      </c>
    </row>
    <row r="96" spans="1:44" s="35" customFormat="1" ht="15">
      <c r="A96" s="59"/>
      <c r="B96" s="59"/>
      <c r="C96" s="59"/>
      <c r="D96" s="59"/>
      <c r="E96" s="59"/>
      <c r="F96" s="59"/>
      <c r="G96" s="59"/>
      <c r="H96" s="59"/>
      <c r="I96" s="156"/>
      <c r="J96" s="159"/>
      <c r="K96" s="59"/>
      <c r="L96" s="59"/>
      <c r="M96" s="59"/>
      <c r="N96" s="59"/>
      <c r="O96" s="59"/>
      <c r="P96" s="59"/>
      <c r="Q96" s="59"/>
      <c r="R96" s="59"/>
      <c r="S96" s="59"/>
      <c r="T96" s="59"/>
      <c r="U96" s="59"/>
      <c r="V96" s="59"/>
      <c r="W96" s="59"/>
      <c r="X96" s="59"/>
      <c r="Y96" s="59"/>
      <c r="Z96" s="59"/>
      <c r="AA96" s="113">
        <v>98</v>
      </c>
      <c r="AB96" s="114" t="s">
        <v>396</v>
      </c>
      <c r="AC96" s="115">
        <v>39657109.56999999</v>
      </c>
      <c r="AD96" s="115">
        <v>3142.8126</v>
      </c>
      <c r="AE96" s="115">
        <v>12537761.910000002</v>
      </c>
      <c r="AF96" s="115">
        <v>993.6134</v>
      </c>
      <c r="AG96" s="115">
        <v>39160562.84000004</v>
      </c>
      <c r="AH96" s="115">
        <v>3103.4615</v>
      </c>
      <c r="AI96" s="115">
        <v>100661971.40000004</v>
      </c>
      <c r="AJ96" s="115">
        <v>7977.4274</v>
      </c>
      <c r="AK96" s="164">
        <f>VLOOKUP(AA96,'FY 2005 TABLE 15'!$A$11:$M$148,6,FALSE)-AC96</f>
        <v>0</v>
      </c>
      <c r="AL96" s="164">
        <f>VLOOKUP(AA96,'FY 2005 TABLE 15'!$A$11:$M$148,7,FALSE)-AD96</f>
        <v>1.575403985043522E-05</v>
      </c>
      <c r="AM96" s="164">
        <f>VLOOKUP(AA96,'FY 2005 TABLE 15'!$A$11:$M$148,10,FALSE)-AE96</f>
        <v>0</v>
      </c>
      <c r="AN96" s="164">
        <f>VLOOKUP(AA96,'FY 2005 TABLE 15'!$A$11:$M$148,11,FALSE)-AF96</f>
        <v>2.093062903441023E-05</v>
      </c>
      <c r="AO96" s="164">
        <f>VLOOKUP(AA96,'FY 2005 TABLE 15'!$A$11:$M$148,4,FALSE)-AG96</f>
        <v>0</v>
      </c>
      <c r="AP96" s="164">
        <f>VLOOKUP(AA96,'FY 2005 TABLE 15'!$A$11:$M$148,5,FALSE)-AH96</f>
        <v>-4.584790804074146E-05</v>
      </c>
      <c r="AQ96" s="164">
        <f>VLOOKUP(AA96,'FY 2005 TABLE 15'!$A$11:$M$148,12,FALSE)-AI96</f>
        <v>0</v>
      </c>
      <c r="AR96" s="165">
        <f>VLOOKUP(AA96,'FY 2005 TABLE 15'!$A$11:$M$148,13,FALSE)-AJ96</f>
        <v>2.9101272048137616E-05</v>
      </c>
    </row>
    <row r="97" spans="1:44" s="35" customFormat="1" ht="15">
      <c r="A97" s="59"/>
      <c r="B97" s="59"/>
      <c r="C97" s="59"/>
      <c r="D97" s="59"/>
      <c r="E97" s="59"/>
      <c r="F97" s="59"/>
      <c r="G97" s="59"/>
      <c r="H97" s="59"/>
      <c r="I97" s="156"/>
      <c r="J97" s="159"/>
      <c r="K97" s="59"/>
      <c r="L97" s="59"/>
      <c r="M97" s="59"/>
      <c r="N97" s="59"/>
      <c r="O97" s="59"/>
      <c r="P97" s="59"/>
      <c r="Q97" s="59"/>
      <c r="R97" s="59"/>
      <c r="S97" s="59"/>
      <c r="T97" s="59"/>
      <c r="U97" s="59"/>
      <c r="V97" s="59"/>
      <c r="W97" s="59"/>
      <c r="X97" s="59"/>
      <c r="Y97" s="59"/>
      <c r="Z97" s="59"/>
      <c r="AA97" s="113">
        <v>101</v>
      </c>
      <c r="AB97" s="114" t="s">
        <v>397</v>
      </c>
      <c r="AC97" s="115">
        <v>14079829.160000002</v>
      </c>
      <c r="AD97" s="115">
        <v>1343.6182</v>
      </c>
      <c r="AE97" s="115">
        <v>10487742.36</v>
      </c>
      <c r="AF97" s="115">
        <v>1000.8305</v>
      </c>
      <c r="AG97" s="115">
        <v>133006806.02999999</v>
      </c>
      <c r="AH97" s="115">
        <v>12692.6518</v>
      </c>
      <c r="AI97" s="115">
        <v>167253841.55999997</v>
      </c>
      <c r="AJ97" s="115">
        <v>15960.7981</v>
      </c>
      <c r="AK97" s="164">
        <f>VLOOKUP(AA97,'FY 2005 TABLE 15'!$A$11:$M$148,6,FALSE)-AC97</f>
        <v>0</v>
      </c>
      <c r="AL97" s="164">
        <f>VLOOKUP(AA97,'FY 2005 TABLE 15'!$A$11:$M$148,7,FALSE)-AD97</f>
        <v>2.838733348653477E-05</v>
      </c>
      <c r="AM97" s="164">
        <f>VLOOKUP(AA97,'FY 2005 TABLE 15'!$A$11:$M$148,10,FALSE)-AE97</f>
        <v>0</v>
      </c>
      <c r="AN97" s="164">
        <f>VLOOKUP(AA97,'FY 2005 TABLE 15'!$A$11:$M$148,11,FALSE)-AF97</f>
        <v>-4.606528864314896E-05</v>
      </c>
      <c r="AO97" s="164">
        <f>VLOOKUP(AA97,'FY 2005 TABLE 15'!$A$11:$M$148,4,FALSE)-AG97</f>
        <v>0</v>
      </c>
      <c r="AP97" s="164">
        <f>VLOOKUP(AA97,'FY 2005 TABLE 15'!$A$11:$M$148,5,FALSE)-AH97</f>
        <v>1.0662044587661512E-05</v>
      </c>
      <c r="AQ97" s="164">
        <f>VLOOKUP(AA97,'FY 2005 TABLE 15'!$A$11:$M$148,12,FALSE)-AI97</f>
        <v>0</v>
      </c>
      <c r="AR97" s="165">
        <f>VLOOKUP(AA97,'FY 2005 TABLE 15'!$A$11:$M$148,13,FALSE)-AJ97</f>
        <v>-1.544263977848459E-05</v>
      </c>
    </row>
    <row r="98" spans="1:44" s="35" customFormat="1" ht="15">
      <c r="A98" s="59"/>
      <c r="B98" s="59"/>
      <c r="C98" s="59"/>
      <c r="D98" s="59"/>
      <c r="E98" s="59"/>
      <c r="F98" s="59"/>
      <c r="G98" s="59"/>
      <c r="H98" s="59"/>
      <c r="I98" s="156"/>
      <c r="J98" s="159"/>
      <c r="K98" s="59"/>
      <c r="L98" s="59"/>
      <c r="M98" s="59"/>
      <c r="N98" s="59"/>
      <c r="O98" s="59"/>
      <c r="P98" s="59"/>
      <c r="Q98" s="59"/>
      <c r="R98" s="59"/>
      <c r="S98" s="59"/>
      <c r="T98" s="59"/>
      <c r="U98" s="59"/>
      <c r="V98" s="59"/>
      <c r="W98" s="59"/>
      <c r="X98" s="59"/>
      <c r="Y98" s="59"/>
      <c r="Z98" s="59"/>
      <c r="AA98" s="113">
        <v>102</v>
      </c>
      <c r="AB98" s="114" t="s">
        <v>398</v>
      </c>
      <c r="AC98" s="115">
        <v>9026941.580000002</v>
      </c>
      <c r="AD98" s="115">
        <v>3944.5313</v>
      </c>
      <c r="AE98" s="115">
        <v>2355508.29</v>
      </c>
      <c r="AF98" s="115">
        <v>1029.2939</v>
      </c>
      <c r="AG98" s="115">
        <v>6983746.790000013</v>
      </c>
      <c r="AH98" s="115">
        <v>3051.71</v>
      </c>
      <c r="AI98" s="115">
        <v>20337244.200000014</v>
      </c>
      <c r="AJ98" s="115">
        <v>8886.8302</v>
      </c>
      <c r="AK98" s="164">
        <f>VLOOKUP(AA98,'FY 2005 TABLE 15'!$A$11:$M$148,6,FALSE)-AC98</f>
        <v>0</v>
      </c>
      <c r="AL98" s="164">
        <f>VLOOKUP(AA98,'FY 2005 TABLE 15'!$A$11:$M$148,7,FALSE)-AD98</f>
        <v>1.5682531284255674E-05</v>
      </c>
      <c r="AM98" s="164">
        <f>VLOOKUP(AA98,'FY 2005 TABLE 15'!$A$11:$M$148,10,FALSE)-AE98</f>
        <v>0</v>
      </c>
      <c r="AN98" s="164">
        <f>VLOOKUP(AA98,'FY 2005 TABLE 15'!$A$11:$M$148,11,FALSE)-AF98</f>
        <v>3.437536884121073E-05</v>
      </c>
      <c r="AO98" s="164">
        <f>VLOOKUP(AA98,'FY 2005 TABLE 15'!$A$11:$M$148,4,FALSE)-AG98</f>
        <v>0</v>
      </c>
      <c r="AP98" s="164">
        <f>VLOOKUP(AA98,'FY 2005 TABLE 15'!$A$11:$M$148,5,FALSE)-AH98</f>
        <v>2.7529372346180025E-06</v>
      </c>
      <c r="AQ98" s="164">
        <f>VLOOKUP(AA98,'FY 2005 TABLE 15'!$A$11:$M$148,12,FALSE)-AI98</f>
        <v>0</v>
      </c>
      <c r="AR98" s="165">
        <f>VLOOKUP(AA98,'FY 2005 TABLE 15'!$A$11:$M$148,13,FALSE)-AJ98</f>
        <v>-4.7103079850785434E-05</v>
      </c>
    </row>
    <row r="99" spans="1:44" s="35" customFormat="1" ht="15">
      <c r="A99" s="59"/>
      <c r="B99" s="59"/>
      <c r="C99" s="59"/>
      <c r="D99" s="59"/>
      <c r="E99" s="59"/>
      <c r="F99" s="59"/>
      <c r="G99" s="59"/>
      <c r="H99" s="59"/>
      <c r="I99" s="156"/>
      <c r="J99" s="159"/>
      <c r="K99" s="59"/>
      <c r="L99" s="59"/>
      <c r="M99" s="59"/>
      <c r="N99" s="59"/>
      <c r="O99" s="59"/>
      <c r="P99" s="59"/>
      <c r="Q99" s="59"/>
      <c r="R99" s="59"/>
      <c r="S99" s="59"/>
      <c r="T99" s="59"/>
      <c r="U99" s="59"/>
      <c r="V99" s="59"/>
      <c r="W99" s="59"/>
      <c r="X99" s="59"/>
      <c r="Y99" s="59"/>
      <c r="Z99" s="59"/>
      <c r="AA99" s="113">
        <v>103</v>
      </c>
      <c r="AB99" s="114" t="s">
        <v>399</v>
      </c>
      <c r="AC99" s="115">
        <v>5238808.72</v>
      </c>
      <c r="AD99" s="115">
        <v>4666.3835</v>
      </c>
      <c r="AE99" s="115">
        <v>596282.08</v>
      </c>
      <c r="AF99" s="115">
        <v>531.1285</v>
      </c>
      <c r="AG99" s="115">
        <v>2596500.94</v>
      </c>
      <c r="AH99" s="115">
        <v>2312.7909</v>
      </c>
      <c r="AI99" s="115">
        <v>9322318.700000001</v>
      </c>
      <c r="AJ99" s="115">
        <v>8303.7034</v>
      </c>
      <c r="AK99" s="164">
        <f>VLOOKUP(AA99,'FY 2005 TABLE 15'!$A$11:$M$148,6,FALSE)-AC99</f>
        <v>0</v>
      </c>
      <c r="AL99" s="164">
        <f>VLOOKUP(AA99,'FY 2005 TABLE 15'!$A$11:$M$148,7,FALSE)-AD99</f>
        <v>-3.914329317922238E-05</v>
      </c>
      <c r="AM99" s="164">
        <f>VLOOKUP(AA99,'FY 2005 TABLE 15'!$A$11:$M$148,10,FALSE)-AE99</f>
        <v>0</v>
      </c>
      <c r="AN99" s="164">
        <f>VLOOKUP(AA99,'FY 2005 TABLE 15'!$A$11:$M$148,11,FALSE)-AF99</f>
        <v>4.177986397735367E-05</v>
      </c>
      <c r="AO99" s="164">
        <f>VLOOKUP(AA99,'FY 2005 TABLE 15'!$A$11:$M$148,4,FALSE)-AG99</f>
        <v>0</v>
      </c>
      <c r="AP99" s="164">
        <f>VLOOKUP(AA99,'FY 2005 TABLE 15'!$A$11:$M$148,5,FALSE)-AH99</f>
        <v>-1.7550124994158978E-05</v>
      </c>
      <c r="AQ99" s="164">
        <f>VLOOKUP(AA99,'FY 2005 TABLE 15'!$A$11:$M$148,12,FALSE)-AI99</f>
        <v>0</v>
      </c>
      <c r="AR99" s="165">
        <f>VLOOKUP(AA99,'FY 2005 TABLE 15'!$A$11:$M$148,13,FALSE)-AJ99</f>
        <v>3.493458279990591E-06</v>
      </c>
    </row>
    <row r="100" spans="1:44" s="35" customFormat="1" ht="15">
      <c r="A100" s="59"/>
      <c r="B100" s="59"/>
      <c r="C100" s="59"/>
      <c r="D100" s="59"/>
      <c r="E100" s="59"/>
      <c r="F100" s="59"/>
      <c r="G100" s="59"/>
      <c r="H100" s="59"/>
      <c r="I100" s="156"/>
      <c r="J100" s="159"/>
      <c r="K100" s="59"/>
      <c r="L100" s="59"/>
      <c r="M100" s="59"/>
      <c r="N100" s="59"/>
      <c r="O100" s="59"/>
      <c r="P100" s="59"/>
      <c r="Q100" s="59"/>
      <c r="R100" s="59"/>
      <c r="S100" s="59"/>
      <c r="T100" s="59"/>
      <c r="U100" s="59"/>
      <c r="V100" s="59"/>
      <c r="W100" s="59"/>
      <c r="X100" s="59"/>
      <c r="Y100" s="59"/>
      <c r="Z100" s="59"/>
      <c r="AA100" s="113">
        <v>104</v>
      </c>
      <c r="AB100" s="114" t="s">
        <v>400</v>
      </c>
      <c r="AC100" s="115">
        <v>10898557.700000001</v>
      </c>
      <c r="AD100" s="115">
        <v>2581.8319</v>
      </c>
      <c r="AE100" s="115">
        <v>4285481.53</v>
      </c>
      <c r="AF100" s="115">
        <v>1015.2162</v>
      </c>
      <c r="AG100" s="115">
        <v>32129515.570000038</v>
      </c>
      <c r="AH100" s="115">
        <v>7611.3747</v>
      </c>
      <c r="AI100" s="115">
        <v>51950187.22000004</v>
      </c>
      <c r="AJ100" s="115">
        <v>12306.8255</v>
      </c>
      <c r="AK100" s="164">
        <f>VLOOKUP(AA100,'FY 2005 TABLE 15'!$A$11:$M$148,6,FALSE)-AC100</f>
        <v>0</v>
      </c>
      <c r="AL100" s="164">
        <f>VLOOKUP(AA100,'FY 2005 TABLE 15'!$A$11:$M$148,7,FALSE)-AD100</f>
        <v>-4.9244891670241486E-05</v>
      </c>
      <c r="AM100" s="164">
        <f>VLOOKUP(AA100,'FY 2005 TABLE 15'!$A$11:$M$148,10,FALSE)-AE100</f>
        <v>0</v>
      </c>
      <c r="AN100" s="164">
        <f>VLOOKUP(AA100,'FY 2005 TABLE 15'!$A$11:$M$148,11,FALSE)-AF100</f>
        <v>3.452768737588485E-05</v>
      </c>
      <c r="AO100" s="164">
        <f>VLOOKUP(AA100,'FY 2005 TABLE 15'!$A$11:$M$148,4,FALSE)-AG100</f>
        <v>0</v>
      </c>
      <c r="AP100" s="164">
        <f>VLOOKUP(AA100,'FY 2005 TABLE 15'!$A$11:$M$148,5,FALSE)-AH100</f>
        <v>2.786497771012364E-05</v>
      </c>
      <c r="AQ100" s="164">
        <f>VLOOKUP(AA100,'FY 2005 TABLE 15'!$A$11:$M$148,12,FALSE)-AI100</f>
        <v>0</v>
      </c>
      <c r="AR100" s="165">
        <f>VLOOKUP(AA100,'FY 2005 TABLE 15'!$A$11:$M$148,13,FALSE)-AJ100</f>
        <v>1.850756052590441E-05</v>
      </c>
    </row>
    <row r="101" spans="1:44" s="35" customFormat="1" ht="15">
      <c r="A101" s="59"/>
      <c r="B101" s="59"/>
      <c r="C101" s="59"/>
      <c r="D101" s="59"/>
      <c r="E101" s="59"/>
      <c r="F101" s="59"/>
      <c r="G101" s="59"/>
      <c r="H101" s="59"/>
      <c r="I101" s="156"/>
      <c r="J101" s="159"/>
      <c r="K101" s="59"/>
      <c r="L101" s="59"/>
      <c r="M101" s="59"/>
      <c r="N101" s="59"/>
      <c r="O101" s="59"/>
      <c r="P101" s="59"/>
      <c r="Q101" s="59"/>
      <c r="R101" s="59"/>
      <c r="S101" s="59"/>
      <c r="T101" s="59"/>
      <c r="U101" s="59"/>
      <c r="V101" s="59"/>
      <c r="W101" s="59"/>
      <c r="X101" s="59"/>
      <c r="Y101" s="59"/>
      <c r="Z101" s="59"/>
      <c r="AA101" s="113">
        <v>106</v>
      </c>
      <c r="AB101" s="114" t="s">
        <v>401</v>
      </c>
      <c r="AC101" s="115">
        <v>8384358.97</v>
      </c>
      <c r="AD101" s="115">
        <v>2931.6248</v>
      </c>
      <c r="AE101" s="115">
        <v>1109455.46</v>
      </c>
      <c r="AF101" s="115">
        <v>387.9256</v>
      </c>
      <c r="AG101" s="115">
        <v>15024468.270000026</v>
      </c>
      <c r="AH101" s="115">
        <v>5253.3657</v>
      </c>
      <c r="AI101" s="115">
        <v>26816150.300000023</v>
      </c>
      <c r="AJ101" s="115">
        <v>9376.3747</v>
      </c>
      <c r="AK101" s="164">
        <f>VLOOKUP(AA101,'FY 2005 TABLE 15'!$A$11:$M$148,6,FALSE)-AC101</f>
        <v>0</v>
      </c>
      <c r="AL101" s="164">
        <f>VLOOKUP(AA101,'FY 2005 TABLE 15'!$A$11:$M$148,7,FALSE)-AD101</f>
        <v>-3.236397333239438E-06</v>
      </c>
      <c r="AM101" s="164">
        <f>VLOOKUP(AA101,'FY 2005 TABLE 15'!$A$11:$M$148,10,FALSE)-AE101</f>
        <v>0</v>
      </c>
      <c r="AN101" s="164">
        <f>VLOOKUP(AA101,'FY 2005 TABLE 15'!$A$11:$M$148,11,FALSE)-AF101</f>
        <v>-4.1340293762459623E-05</v>
      </c>
      <c r="AO101" s="164">
        <f>VLOOKUP(AA101,'FY 2005 TABLE 15'!$A$11:$M$148,4,FALSE)-AG101</f>
        <v>0</v>
      </c>
      <c r="AP101" s="164">
        <f>VLOOKUP(AA101,'FY 2005 TABLE 15'!$A$11:$M$148,5,FALSE)-AH101</f>
        <v>-1.0849406862689648E-05</v>
      </c>
      <c r="AQ101" s="164">
        <f>VLOOKUP(AA101,'FY 2005 TABLE 15'!$A$11:$M$148,12,FALSE)-AI101</f>
        <v>0</v>
      </c>
      <c r="AR101" s="165">
        <f>VLOOKUP(AA101,'FY 2005 TABLE 15'!$A$11:$M$148,13,FALSE)-AJ101</f>
        <v>-1.774807969923131E-05</v>
      </c>
    </row>
    <row r="102" spans="1:44" s="35" customFormat="1" ht="15">
      <c r="A102" s="59"/>
      <c r="B102" s="59"/>
      <c r="C102" s="59"/>
      <c r="D102" s="59"/>
      <c r="E102" s="59"/>
      <c r="F102" s="59"/>
      <c r="G102" s="59"/>
      <c r="H102" s="59"/>
      <c r="I102" s="156"/>
      <c r="J102" s="159"/>
      <c r="K102" s="59"/>
      <c r="L102" s="59"/>
      <c r="M102" s="59"/>
      <c r="N102" s="59"/>
      <c r="O102" s="59"/>
      <c r="P102" s="59"/>
      <c r="Q102" s="59"/>
      <c r="R102" s="59"/>
      <c r="S102" s="59"/>
      <c r="T102" s="59"/>
      <c r="U102" s="59"/>
      <c r="V102" s="59"/>
      <c r="W102" s="59"/>
      <c r="X102" s="59"/>
      <c r="Y102" s="59"/>
      <c r="Z102" s="59"/>
      <c r="AA102" s="113">
        <v>107</v>
      </c>
      <c r="AB102" s="114" t="s">
        <v>402</v>
      </c>
      <c r="AC102" s="115">
        <v>3737092.24</v>
      </c>
      <c r="AD102" s="115">
        <v>4508.0064</v>
      </c>
      <c r="AE102" s="115">
        <v>1148122.36</v>
      </c>
      <c r="AF102" s="115">
        <v>1384.9653</v>
      </c>
      <c r="AG102" s="115">
        <v>3511853.99</v>
      </c>
      <c r="AH102" s="115">
        <v>4236.3044</v>
      </c>
      <c r="AI102" s="115">
        <v>9100813.869999997</v>
      </c>
      <c r="AJ102" s="115">
        <v>10978.195</v>
      </c>
      <c r="AK102" s="164">
        <f>VLOOKUP(AA102,'FY 2005 TABLE 15'!$A$11:$M$148,6,FALSE)-AC102</f>
        <v>0</v>
      </c>
      <c r="AL102" s="164">
        <f>VLOOKUP(AA102,'FY 2005 TABLE 15'!$A$11:$M$148,7,FALSE)-AD102</f>
        <v>1.7447737263864838E-05</v>
      </c>
      <c r="AM102" s="164">
        <f>VLOOKUP(AA102,'FY 2005 TABLE 15'!$A$11:$M$148,10,FALSE)-AE102</f>
        <v>0</v>
      </c>
      <c r="AN102" s="164">
        <f>VLOOKUP(AA102,'FY 2005 TABLE 15'!$A$11:$M$148,11,FALSE)-AF102</f>
        <v>-2.9007587500018417E-05</v>
      </c>
      <c r="AO102" s="164">
        <f>VLOOKUP(AA102,'FY 2005 TABLE 15'!$A$11:$M$148,4,FALSE)-AG102</f>
        <v>-3.725290298461914E-09</v>
      </c>
      <c r="AP102" s="164">
        <f>VLOOKUP(AA102,'FY 2005 TABLE 15'!$A$11:$M$148,5,FALSE)-AH102</f>
        <v>6.56702286505606E-06</v>
      </c>
      <c r="AQ102" s="164">
        <f>VLOOKUP(AA102,'FY 2005 TABLE 15'!$A$11:$M$148,12,FALSE)-AI102</f>
        <v>0</v>
      </c>
      <c r="AR102" s="165">
        <f>VLOOKUP(AA102,'FY 2005 TABLE 15'!$A$11:$M$148,13,FALSE)-AJ102</f>
        <v>-3.6791789170820266E-06</v>
      </c>
    </row>
    <row r="103" spans="1:44" s="35" customFormat="1" ht="15">
      <c r="A103" s="59"/>
      <c r="B103" s="59"/>
      <c r="C103" s="59"/>
      <c r="D103" s="59"/>
      <c r="E103" s="59"/>
      <c r="F103" s="59"/>
      <c r="G103" s="59"/>
      <c r="H103" s="59"/>
      <c r="I103" s="156"/>
      <c r="J103" s="159"/>
      <c r="K103" s="59"/>
      <c r="L103" s="59"/>
      <c r="M103" s="59"/>
      <c r="N103" s="59"/>
      <c r="O103" s="59"/>
      <c r="P103" s="59"/>
      <c r="Q103" s="59"/>
      <c r="R103" s="59"/>
      <c r="S103" s="59"/>
      <c r="T103" s="59"/>
      <c r="U103" s="59"/>
      <c r="V103" s="59"/>
      <c r="W103" s="59"/>
      <c r="X103" s="59"/>
      <c r="Y103" s="59"/>
      <c r="Z103" s="59"/>
      <c r="AA103" s="113">
        <v>108</v>
      </c>
      <c r="AB103" s="114" t="s">
        <v>403</v>
      </c>
      <c r="AC103" s="115">
        <v>27787636.119999997</v>
      </c>
      <c r="AD103" s="115">
        <v>3964.7969</v>
      </c>
      <c r="AE103" s="115">
        <v>8358268.300000001</v>
      </c>
      <c r="AF103" s="115">
        <v>1192.5749</v>
      </c>
      <c r="AG103" s="115">
        <v>16051864.699999936</v>
      </c>
      <c r="AH103" s="115">
        <v>2290.313</v>
      </c>
      <c r="AI103" s="115">
        <v>59309028.17999993</v>
      </c>
      <c r="AJ103" s="115">
        <v>8462.3338</v>
      </c>
      <c r="AK103" s="164">
        <f>VLOOKUP(AA103,'FY 2005 TABLE 15'!$A$11:$M$148,6,FALSE)-AC103</f>
        <v>0</v>
      </c>
      <c r="AL103" s="164">
        <f>VLOOKUP(AA103,'FY 2005 TABLE 15'!$A$11:$M$148,7,FALSE)-AD103</f>
        <v>3.062370569750783E-05</v>
      </c>
      <c r="AM103" s="164">
        <f>VLOOKUP(AA103,'FY 2005 TABLE 15'!$A$11:$M$148,10,FALSE)-AE103</f>
        <v>0</v>
      </c>
      <c r="AN103" s="164">
        <f>VLOOKUP(AA103,'FY 2005 TABLE 15'!$A$11:$M$148,11,FALSE)-AF103</f>
        <v>-3.1160475828073686E-05</v>
      </c>
      <c r="AO103" s="164">
        <f>VLOOKUP(AA103,'FY 2005 TABLE 15'!$A$11:$M$148,4,FALSE)-AG103</f>
        <v>0</v>
      </c>
      <c r="AP103" s="164">
        <f>VLOOKUP(AA103,'FY 2005 TABLE 15'!$A$11:$M$148,5,FALSE)-AH103</f>
        <v>-1.2651627002924215E-05</v>
      </c>
      <c r="AQ103" s="164">
        <f>VLOOKUP(AA103,'FY 2005 TABLE 15'!$A$11:$M$148,12,FALSE)-AI103</f>
        <v>0</v>
      </c>
      <c r="AR103" s="165">
        <f>VLOOKUP(AA103,'FY 2005 TABLE 15'!$A$11:$M$148,13,FALSE)-AJ103</f>
        <v>1.892790533020161E-05</v>
      </c>
    </row>
    <row r="104" spans="1:44" s="35" customFormat="1" ht="15">
      <c r="A104" s="59"/>
      <c r="B104" s="59"/>
      <c r="C104" s="59"/>
      <c r="D104" s="59"/>
      <c r="E104" s="59"/>
      <c r="F104" s="59"/>
      <c r="G104" s="59"/>
      <c r="H104" s="59"/>
      <c r="I104" s="156"/>
      <c r="J104" s="159"/>
      <c r="K104" s="59"/>
      <c r="L104" s="59"/>
      <c r="M104" s="59"/>
      <c r="N104" s="59"/>
      <c r="O104" s="59"/>
      <c r="P104" s="59"/>
      <c r="Q104" s="59"/>
      <c r="R104" s="59"/>
      <c r="S104" s="59"/>
      <c r="T104" s="59"/>
      <c r="U104" s="59"/>
      <c r="V104" s="59"/>
      <c r="W104" s="59"/>
      <c r="X104" s="59"/>
      <c r="Y104" s="59"/>
      <c r="Z104" s="59"/>
      <c r="AA104" s="113">
        <v>109</v>
      </c>
      <c r="AB104" s="114" t="s">
        <v>404</v>
      </c>
      <c r="AC104" s="115">
        <v>2162302.03</v>
      </c>
      <c r="AD104" s="115">
        <v>1155.3536</v>
      </c>
      <c r="AE104" s="115">
        <v>571979.57</v>
      </c>
      <c r="AF104" s="115">
        <v>305.6181</v>
      </c>
      <c r="AG104" s="115">
        <v>24456831.22999997</v>
      </c>
      <c r="AH104" s="115">
        <v>13067.6879</v>
      </c>
      <c r="AI104" s="115">
        <v>28761922.809999973</v>
      </c>
      <c r="AJ104" s="115">
        <v>15367.9692</v>
      </c>
      <c r="AK104" s="164">
        <f>VLOOKUP(AA104,'FY 2005 TABLE 15'!$A$11:$M$148,6,FALSE)-AC104</f>
        <v>0</v>
      </c>
      <c r="AL104" s="164">
        <f>VLOOKUP(AA104,'FY 2005 TABLE 15'!$A$11:$M$148,7,FALSE)-AD104</f>
        <v>-4.2745341488625854E-08</v>
      </c>
      <c r="AM104" s="164">
        <f>VLOOKUP(AA104,'FY 2005 TABLE 15'!$A$11:$M$148,10,FALSE)-AE104</f>
        <v>0</v>
      </c>
      <c r="AN104" s="164">
        <f>VLOOKUP(AA104,'FY 2005 TABLE 15'!$A$11:$M$148,11,FALSE)-AF104</f>
        <v>7.985359673057246E-06</v>
      </c>
      <c r="AO104" s="164">
        <f>VLOOKUP(AA104,'FY 2005 TABLE 15'!$A$11:$M$148,4,FALSE)-AG104</f>
        <v>0</v>
      </c>
      <c r="AP104" s="164">
        <f>VLOOKUP(AA104,'FY 2005 TABLE 15'!$A$11:$M$148,5,FALSE)-AH104</f>
        <v>-3.16555961035192E-05</v>
      </c>
      <c r="AQ104" s="164">
        <f>VLOOKUP(AA104,'FY 2005 TABLE 15'!$A$11:$M$148,12,FALSE)-AI104</f>
        <v>0</v>
      </c>
      <c r="AR104" s="165">
        <f>VLOOKUP(AA104,'FY 2005 TABLE 15'!$A$11:$M$148,13,FALSE)-AJ104</f>
        <v>2.8714153813780285E-05</v>
      </c>
    </row>
    <row r="105" spans="1:44" s="35" customFormat="1" ht="15">
      <c r="A105" s="59"/>
      <c r="B105" s="59"/>
      <c r="C105" s="59"/>
      <c r="D105" s="59"/>
      <c r="E105" s="59"/>
      <c r="F105" s="59"/>
      <c r="G105" s="59"/>
      <c r="H105" s="59"/>
      <c r="I105" s="156"/>
      <c r="J105" s="159"/>
      <c r="K105" s="59"/>
      <c r="L105" s="59"/>
      <c r="M105" s="59"/>
      <c r="N105" s="59"/>
      <c r="O105" s="59"/>
      <c r="P105" s="59"/>
      <c r="Q105" s="59"/>
      <c r="R105" s="59"/>
      <c r="S105" s="59"/>
      <c r="T105" s="59"/>
      <c r="U105" s="59"/>
      <c r="V105" s="59"/>
      <c r="W105" s="59"/>
      <c r="X105" s="59"/>
      <c r="Y105" s="59"/>
      <c r="Z105" s="59"/>
      <c r="AA105" s="113">
        <v>110</v>
      </c>
      <c r="AB105" s="114" t="s">
        <v>405</v>
      </c>
      <c r="AC105" s="115">
        <v>4323020.32</v>
      </c>
      <c r="AD105" s="115">
        <v>1780.7135</v>
      </c>
      <c r="AE105" s="115">
        <v>2688563.4</v>
      </c>
      <c r="AF105" s="115">
        <v>1107.4575</v>
      </c>
      <c r="AG105" s="115">
        <v>15458672.91000001</v>
      </c>
      <c r="AH105" s="115">
        <v>6367.647</v>
      </c>
      <c r="AI105" s="115">
        <v>24509295.550000012</v>
      </c>
      <c r="AJ105" s="115">
        <v>10095.727</v>
      </c>
      <c r="AK105" s="164">
        <f>VLOOKUP(AA105,'FY 2005 TABLE 15'!$A$11:$M$148,6,FALSE)-AC105</f>
        <v>0</v>
      </c>
      <c r="AL105" s="164">
        <f>VLOOKUP(AA105,'FY 2005 TABLE 15'!$A$11:$M$148,7,FALSE)-AD105</f>
        <v>-1.5164621572694159E-05</v>
      </c>
      <c r="AM105" s="164">
        <f>VLOOKUP(AA105,'FY 2005 TABLE 15'!$A$11:$M$148,10,FALSE)-AE105</f>
        <v>0</v>
      </c>
      <c r="AN105" s="164">
        <f>VLOOKUP(AA105,'FY 2005 TABLE 15'!$A$11:$M$148,11,FALSE)-AF105</f>
        <v>-4.0439677377435146E-05</v>
      </c>
      <c r="AO105" s="164">
        <f>VLOOKUP(AA105,'FY 2005 TABLE 15'!$A$11:$M$148,4,FALSE)-AG105</f>
        <v>0</v>
      </c>
      <c r="AP105" s="164">
        <f>VLOOKUP(AA105,'FY 2005 TABLE 15'!$A$11:$M$148,5,FALSE)-AH105</f>
        <v>-1.4594115782529116E-05</v>
      </c>
      <c r="AQ105" s="164">
        <f>VLOOKUP(AA105,'FY 2005 TABLE 15'!$A$11:$M$148,12,FALSE)-AI105</f>
        <v>0</v>
      </c>
      <c r="AR105" s="165">
        <f>VLOOKUP(AA105,'FY 2005 TABLE 15'!$A$11:$M$148,13,FALSE)-AJ105</f>
        <v>2.8574491807376035E-05</v>
      </c>
    </row>
    <row r="106" spans="1:44" s="35" customFormat="1" ht="12" customHeight="1">
      <c r="A106" s="59"/>
      <c r="B106" s="59"/>
      <c r="C106" s="59"/>
      <c r="D106" s="59"/>
      <c r="E106" s="59"/>
      <c r="F106" s="59"/>
      <c r="G106" s="59"/>
      <c r="H106" s="59"/>
      <c r="I106" s="156"/>
      <c r="J106" s="159"/>
      <c r="K106" s="59"/>
      <c r="L106" s="59"/>
      <c r="M106" s="59"/>
      <c r="N106" s="59"/>
      <c r="O106" s="59"/>
      <c r="P106" s="59"/>
      <c r="Q106" s="59"/>
      <c r="R106" s="59"/>
      <c r="S106" s="59"/>
      <c r="T106" s="59"/>
      <c r="U106" s="59"/>
      <c r="V106" s="59"/>
      <c r="W106" s="59"/>
      <c r="X106" s="59"/>
      <c r="Y106" s="59"/>
      <c r="Z106" s="59"/>
      <c r="AA106" s="113">
        <v>111</v>
      </c>
      <c r="AB106" s="114" t="s">
        <v>406</v>
      </c>
      <c r="AC106" s="115">
        <v>5140131.3</v>
      </c>
      <c r="AD106" s="115">
        <v>3945.4493</v>
      </c>
      <c r="AE106" s="115">
        <v>1202503.33</v>
      </c>
      <c r="AF106" s="115">
        <v>923.0145</v>
      </c>
      <c r="AG106" s="115">
        <v>2864153.6799999857</v>
      </c>
      <c r="AH106" s="115">
        <v>2198.46</v>
      </c>
      <c r="AI106" s="115">
        <v>10056618.109999986</v>
      </c>
      <c r="AJ106" s="115">
        <v>7719.234</v>
      </c>
      <c r="AK106" s="164">
        <f>VLOOKUP(AA106,'FY 2005 TABLE 15'!$A$11:$M$148,6,FALSE)-AC106</f>
        <v>0</v>
      </c>
      <c r="AL106" s="164">
        <f>VLOOKUP(AA106,'FY 2005 TABLE 15'!$A$11:$M$148,7,FALSE)-AD106</f>
        <v>-3.68744244951813E-05</v>
      </c>
      <c r="AM106" s="164">
        <f>VLOOKUP(AA106,'FY 2005 TABLE 15'!$A$11:$M$148,10,FALSE)-AE106</f>
        <v>0</v>
      </c>
      <c r="AN106" s="164">
        <f>VLOOKUP(AA106,'FY 2005 TABLE 15'!$A$11:$M$148,11,FALSE)-AF106</f>
        <v>3.0242554544201994E-05</v>
      </c>
      <c r="AO106" s="164">
        <f>VLOOKUP(AA106,'FY 2005 TABLE 15'!$A$11:$M$148,4,FALSE)-AG106</f>
        <v>0</v>
      </c>
      <c r="AP106" s="164">
        <f>VLOOKUP(AA106,'FY 2005 TABLE 15'!$A$11:$M$148,5,FALSE)-AH106</f>
        <v>-6.14063037573942E-06</v>
      </c>
      <c r="AQ106" s="164">
        <f>VLOOKUP(AA106,'FY 2005 TABLE 15'!$A$11:$M$148,12,FALSE)-AI106</f>
        <v>0</v>
      </c>
      <c r="AR106" s="165">
        <f>VLOOKUP(AA106,'FY 2005 TABLE 15'!$A$11:$M$148,13,FALSE)-AJ106</f>
        <v>4.206323774269549E-05</v>
      </c>
    </row>
    <row r="107" spans="1:44" s="35" customFormat="1" ht="15">
      <c r="A107" s="59"/>
      <c r="B107" s="59"/>
      <c r="C107" s="59"/>
      <c r="D107" s="59"/>
      <c r="E107" s="59"/>
      <c r="F107" s="59"/>
      <c r="G107" s="59"/>
      <c r="H107" s="59"/>
      <c r="I107" s="156"/>
      <c r="J107" s="159"/>
      <c r="K107" s="59"/>
      <c r="L107" s="59"/>
      <c r="M107" s="59"/>
      <c r="N107" s="59"/>
      <c r="O107" s="59"/>
      <c r="P107" s="59"/>
      <c r="Q107" s="59"/>
      <c r="R107" s="59"/>
      <c r="S107" s="59"/>
      <c r="T107" s="59"/>
      <c r="U107" s="59"/>
      <c r="V107" s="59"/>
      <c r="W107" s="59"/>
      <c r="X107" s="59"/>
      <c r="Y107" s="59"/>
      <c r="Z107" s="59"/>
      <c r="AA107" s="113">
        <v>112</v>
      </c>
      <c r="AB107" s="114" t="s">
        <v>407</v>
      </c>
      <c r="AC107" s="115">
        <v>93530460.18000002</v>
      </c>
      <c r="AD107" s="115">
        <v>4153.1088</v>
      </c>
      <c r="AE107" s="115">
        <v>19360454.18</v>
      </c>
      <c r="AF107" s="115">
        <v>859.6779</v>
      </c>
      <c r="AG107" s="115">
        <v>57841966.07</v>
      </c>
      <c r="AH107" s="115">
        <v>2568.4037</v>
      </c>
      <c r="AI107" s="115">
        <v>192328676.91000003</v>
      </c>
      <c r="AJ107" s="115">
        <v>8540.126</v>
      </c>
      <c r="AK107" s="164">
        <f>VLOOKUP(AA107,'FY 2005 TABLE 15'!$A$11:$M$148,6,FALSE)-AC107</f>
        <v>0</v>
      </c>
      <c r="AL107" s="164">
        <f>VLOOKUP(AA107,'FY 2005 TABLE 15'!$A$11:$M$148,7,FALSE)-AD107</f>
        <v>-1.4661782188341022E-05</v>
      </c>
      <c r="AM107" s="164">
        <f>VLOOKUP(AA107,'FY 2005 TABLE 15'!$A$11:$M$148,10,FALSE)-AE107</f>
        <v>0</v>
      </c>
      <c r="AN107" s="164">
        <f>VLOOKUP(AA107,'FY 2005 TABLE 15'!$A$11:$M$148,11,FALSE)-AF107</f>
        <v>2.9397053936008888E-05</v>
      </c>
      <c r="AO107" s="164">
        <f>VLOOKUP(AA107,'FY 2005 TABLE 15'!$A$11:$M$148,4,FALSE)-AG107</f>
        <v>0</v>
      </c>
      <c r="AP107" s="164">
        <f>VLOOKUP(AA107,'FY 2005 TABLE 15'!$A$11:$M$148,5,FALSE)-AH107</f>
        <v>-2.7183257316210074E-05</v>
      </c>
      <c r="AQ107" s="164">
        <f>VLOOKUP(AA107,'FY 2005 TABLE 15'!$A$11:$M$148,12,FALSE)-AI107</f>
        <v>0</v>
      </c>
      <c r="AR107" s="165">
        <f>VLOOKUP(AA107,'FY 2005 TABLE 15'!$A$11:$M$148,13,FALSE)-AJ107</f>
        <v>3.177803228027187E-05</v>
      </c>
    </row>
    <row r="108" spans="1:44" s="35" customFormat="1" ht="15">
      <c r="A108" s="59"/>
      <c r="B108" s="59"/>
      <c r="C108" s="59"/>
      <c r="D108" s="59"/>
      <c r="E108" s="59"/>
      <c r="F108" s="59"/>
      <c r="G108" s="59"/>
      <c r="H108" s="59"/>
      <c r="I108" s="156"/>
      <c r="J108" s="159"/>
      <c r="K108" s="59"/>
      <c r="L108" s="59"/>
      <c r="M108" s="59"/>
      <c r="N108" s="59"/>
      <c r="O108" s="59"/>
      <c r="P108" s="59"/>
      <c r="Q108" s="59"/>
      <c r="R108" s="59"/>
      <c r="S108" s="59"/>
      <c r="T108" s="59"/>
      <c r="U108" s="59"/>
      <c r="V108" s="59"/>
      <c r="W108" s="59"/>
      <c r="X108" s="59"/>
      <c r="Y108" s="59"/>
      <c r="Z108" s="59"/>
      <c r="AA108" s="113">
        <v>113</v>
      </c>
      <c r="AB108" s="114" t="s">
        <v>408</v>
      </c>
      <c r="AC108" s="115">
        <v>12778113.89</v>
      </c>
      <c r="AD108" s="115">
        <v>3096.3884</v>
      </c>
      <c r="AE108" s="115">
        <v>3799040.2</v>
      </c>
      <c r="AF108" s="115">
        <v>920.5822</v>
      </c>
      <c r="AG108" s="115">
        <v>20714368.90000002</v>
      </c>
      <c r="AH108" s="115">
        <v>5019.4992</v>
      </c>
      <c r="AI108" s="115">
        <v>40595877.40000002</v>
      </c>
      <c r="AJ108" s="115">
        <v>9837.1799</v>
      </c>
      <c r="AK108" s="164">
        <f>VLOOKUP(AA108,'FY 2005 TABLE 15'!$A$11:$M$148,6,FALSE)-AC108</f>
        <v>0</v>
      </c>
      <c r="AL108" s="164">
        <f>VLOOKUP(AA108,'FY 2005 TABLE 15'!$A$11:$M$148,7,FALSE)-AD108</f>
        <v>4.086672970515792E-05</v>
      </c>
      <c r="AM108" s="164">
        <f>VLOOKUP(AA108,'FY 2005 TABLE 15'!$A$11:$M$148,10,FALSE)-AE108</f>
        <v>0</v>
      </c>
      <c r="AN108" s="164">
        <f>VLOOKUP(AA108,'FY 2005 TABLE 15'!$A$11:$M$148,11,FALSE)-AF108</f>
        <v>-2.7420893502494437E-06</v>
      </c>
      <c r="AO108" s="164">
        <f>VLOOKUP(AA108,'FY 2005 TABLE 15'!$A$11:$M$148,4,FALSE)-AG108</f>
        <v>0</v>
      </c>
      <c r="AP108" s="164">
        <f>VLOOKUP(AA108,'FY 2005 TABLE 15'!$A$11:$M$148,5,FALSE)-AH108</f>
        <v>-2.0781290004379116E-06</v>
      </c>
      <c r="AQ108" s="164">
        <f>VLOOKUP(AA108,'FY 2005 TABLE 15'!$A$11:$M$148,12,FALSE)-AI108</f>
        <v>0</v>
      </c>
      <c r="AR108" s="165">
        <f>VLOOKUP(AA108,'FY 2005 TABLE 15'!$A$11:$M$148,13,FALSE)-AJ108</f>
        <v>3.205356915714219E-05</v>
      </c>
    </row>
    <row r="109" spans="1:44" s="35" customFormat="1" ht="15">
      <c r="A109" s="59"/>
      <c r="B109" s="59"/>
      <c r="C109" s="59"/>
      <c r="D109" s="59"/>
      <c r="E109" s="59"/>
      <c r="F109" s="59"/>
      <c r="G109" s="59"/>
      <c r="H109" s="59"/>
      <c r="I109" s="156"/>
      <c r="J109" s="159"/>
      <c r="K109" s="59"/>
      <c r="L109" s="59"/>
      <c r="M109" s="59"/>
      <c r="N109" s="59"/>
      <c r="O109" s="59"/>
      <c r="P109" s="59"/>
      <c r="Q109" s="59"/>
      <c r="R109" s="59"/>
      <c r="S109" s="59"/>
      <c r="T109" s="59"/>
      <c r="U109" s="59"/>
      <c r="V109" s="59"/>
      <c r="W109" s="59"/>
      <c r="X109" s="59"/>
      <c r="Y109" s="59"/>
      <c r="Z109" s="59"/>
      <c r="AA109" s="113">
        <v>114</v>
      </c>
      <c r="AB109" s="114" t="s">
        <v>409</v>
      </c>
      <c r="AC109" s="115">
        <v>17006721.169999998</v>
      </c>
      <c r="AD109" s="115">
        <v>4455.8005</v>
      </c>
      <c r="AE109" s="115">
        <v>3759496.18</v>
      </c>
      <c r="AF109" s="115">
        <v>984.9967</v>
      </c>
      <c r="AG109" s="115">
        <v>9903780.76999998</v>
      </c>
      <c r="AH109" s="115">
        <v>2594.8136</v>
      </c>
      <c r="AI109" s="115">
        <v>33938488.49999998</v>
      </c>
      <c r="AJ109" s="115">
        <v>8891.9629</v>
      </c>
      <c r="AK109" s="164">
        <f>VLOOKUP(AA109,'FY 2005 TABLE 15'!$A$11:$M$148,6,FALSE)-AC109</f>
        <v>0</v>
      </c>
      <c r="AL109" s="164">
        <f>VLOOKUP(AA109,'FY 2005 TABLE 15'!$A$11:$M$148,7,FALSE)-AD109</f>
        <v>1.404856357112294E-05</v>
      </c>
      <c r="AM109" s="164">
        <f>VLOOKUP(AA109,'FY 2005 TABLE 15'!$A$11:$M$148,10,FALSE)-AE109</f>
        <v>0</v>
      </c>
      <c r="AN109" s="164">
        <f>VLOOKUP(AA109,'FY 2005 TABLE 15'!$A$11:$M$148,11,FALSE)-AF109</f>
        <v>4.593110384121246E-05</v>
      </c>
      <c r="AO109" s="164">
        <f>VLOOKUP(AA109,'FY 2005 TABLE 15'!$A$11:$M$148,4,FALSE)-AG109</f>
        <v>0</v>
      </c>
      <c r="AP109" s="164">
        <f>VLOOKUP(AA109,'FY 2005 TABLE 15'!$A$11:$M$148,5,FALSE)-AH109</f>
        <v>3.6847955016128253E-06</v>
      </c>
      <c r="AQ109" s="164">
        <f>VLOOKUP(AA109,'FY 2005 TABLE 15'!$A$11:$M$148,12,FALSE)-AI109</f>
        <v>0</v>
      </c>
      <c r="AR109" s="165">
        <f>VLOOKUP(AA109,'FY 2005 TABLE 15'!$A$11:$M$148,13,FALSE)-AJ109</f>
        <v>4.763096876558848E-05</v>
      </c>
    </row>
    <row r="110" spans="1:44" s="35" customFormat="1" ht="15">
      <c r="A110" s="59"/>
      <c r="B110" s="59"/>
      <c r="C110" s="59"/>
      <c r="D110" s="59"/>
      <c r="E110" s="59"/>
      <c r="F110" s="59"/>
      <c r="G110" s="59"/>
      <c r="H110" s="59"/>
      <c r="I110" s="156"/>
      <c r="J110" s="159"/>
      <c r="K110" s="59"/>
      <c r="L110" s="59"/>
      <c r="M110" s="59"/>
      <c r="N110" s="59"/>
      <c r="O110" s="59"/>
      <c r="P110" s="59"/>
      <c r="Q110" s="59"/>
      <c r="R110" s="59"/>
      <c r="S110" s="59"/>
      <c r="T110" s="59"/>
      <c r="U110" s="59"/>
      <c r="V110" s="59"/>
      <c r="W110" s="59"/>
      <c r="X110" s="59"/>
      <c r="Y110" s="59"/>
      <c r="Z110" s="59"/>
      <c r="AA110" s="113">
        <v>115</v>
      </c>
      <c r="AB110" s="114" t="s">
        <v>410</v>
      </c>
      <c r="AC110" s="115">
        <v>28147583.78</v>
      </c>
      <c r="AD110" s="115">
        <v>3303.5209</v>
      </c>
      <c r="AE110" s="115">
        <v>8419058.629999999</v>
      </c>
      <c r="AF110" s="115">
        <v>988.0968</v>
      </c>
      <c r="AG110" s="115">
        <v>27598612.98</v>
      </c>
      <c r="AH110" s="115">
        <v>3239.0913</v>
      </c>
      <c r="AI110" s="115">
        <v>73297112.98</v>
      </c>
      <c r="AJ110" s="115">
        <v>8602.4629</v>
      </c>
      <c r="AK110" s="164">
        <f>VLOOKUP(AA110,'FY 2005 TABLE 15'!$A$11:$M$148,6,FALSE)-AC110</f>
        <v>0</v>
      </c>
      <c r="AL110" s="164">
        <f>VLOOKUP(AA110,'FY 2005 TABLE 15'!$A$11:$M$148,7,FALSE)-AD110</f>
        <v>2.578258772700792E-06</v>
      </c>
      <c r="AM110" s="164">
        <f>VLOOKUP(AA110,'FY 2005 TABLE 15'!$A$11:$M$148,10,FALSE)-AE110</f>
        <v>0</v>
      </c>
      <c r="AN110" s="164">
        <f>VLOOKUP(AA110,'FY 2005 TABLE 15'!$A$11:$M$148,11,FALSE)-AF110</f>
        <v>-4.606125492045976E-05</v>
      </c>
      <c r="AO110" s="164">
        <f>VLOOKUP(AA110,'FY 2005 TABLE 15'!$A$11:$M$148,4,FALSE)-AG110</f>
        <v>0</v>
      </c>
      <c r="AP110" s="164">
        <f>VLOOKUP(AA110,'FY 2005 TABLE 15'!$A$11:$M$148,5,FALSE)-AH110</f>
        <v>3.9924511838762555E-05</v>
      </c>
      <c r="AQ110" s="164">
        <f>VLOOKUP(AA110,'FY 2005 TABLE 15'!$A$11:$M$148,12,FALSE)-AI110</f>
        <v>0</v>
      </c>
      <c r="AR110" s="165">
        <f>VLOOKUP(AA110,'FY 2005 TABLE 15'!$A$11:$M$148,13,FALSE)-AJ110</f>
        <v>-1.2932603567605838E-05</v>
      </c>
    </row>
    <row r="111" spans="1:44" s="35" customFormat="1" ht="15">
      <c r="A111" s="59"/>
      <c r="B111" s="59"/>
      <c r="C111" s="59"/>
      <c r="D111" s="59"/>
      <c r="E111" s="59"/>
      <c r="F111" s="59"/>
      <c r="G111" s="59"/>
      <c r="H111" s="59"/>
      <c r="I111" s="156"/>
      <c r="J111" s="159"/>
      <c r="K111" s="59"/>
      <c r="L111" s="59"/>
      <c r="M111" s="59"/>
      <c r="N111" s="59"/>
      <c r="O111" s="59"/>
      <c r="P111" s="59"/>
      <c r="Q111" s="59"/>
      <c r="R111" s="59"/>
      <c r="S111" s="59"/>
      <c r="T111" s="59"/>
      <c r="U111" s="59"/>
      <c r="V111" s="59"/>
      <c r="W111" s="59"/>
      <c r="X111" s="59"/>
      <c r="Y111" s="59"/>
      <c r="Z111" s="59"/>
      <c r="AA111" s="113">
        <v>116</v>
      </c>
      <c r="AB111" s="114" t="s">
        <v>411</v>
      </c>
      <c r="AC111" s="115">
        <v>10835857.650000002</v>
      </c>
      <c r="AD111" s="115">
        <v>4206.7441</v>
      </c>
      <c r="AE111" s="115">
        <v>4639688.19</v>
      </c>
      <c r="AF111" s="115">
        <v>1801.2401</v>
      </c>
      <c r="AG111" s="115">
        <v>4623437.930000012</v>
      </c>
      <c r="AH111" s="115">
        <v>1794.9313</v>
      </c>
      <c r="AI111" s="115">
        <v>22516077.070000015</v>
      </c>
      <c r="AJ111" s="115">
        <v>8741.29</v>
      </c>
      <c r="AK111" s="164">
        <f>VLOOKUP(AA111,'FY 2005 TABLE 15'!$A$11:$M$148,6,FALSE)-AC111</f>
        <v>0</v>
      </c>
      <c r="AL111" s="164">
        <f>VLOOKUP(AA111,'FY 2005 TABLE 15'!$A$11:$M$148,7,FALSE)-AD111</f>
        <v>-1.9811077436315827E-06</v>
      </c>
      <c r="AM111" s="164">
        <f>VLOOKUP(AA111,'FY 2005 TABLE 15'!$A$11:$M$148,10,FALSE)-AE111</f>
        <v>0</v>
      </c>
      <c r="AN111" s="164">
        <f>VLOOKUP(AA111,'FY 2005 TABLE 15'!$A$11:$M$148,11,FALSE)-AF111</f>
        <v>-3.757351987587754E-05</v>
      </c>
      <c r="AO111" s="164">
        <f>VLOOKUP(AA111,'FY 2005 TABLE 15'!$A$11:$M$148,4,FALSE)-AG111</f>
        <v>0</v>
      </c>
      <c r="AP111" s="164">
        <f>VLOOKUP(AA111,'FY 2005 TABLE 15'!$A$11:$M$148,5,FALSE)-AH111</f>
        <v>1.534301986794162E-05</v>
      </c>
      <c r="AQ111" s="164">
        <f>VLOOKUP(AA111,'FY 2005 TABLE 15'!$A$11:$M$148,12,FALSE)-AI111</f>
        <v>0</v>
      </c>
      <c r="AR111" s="165">
        <f>VLOOKUP(AA111,'FY 2005 TABLE 15'!$A$11:$M$148,13,FALSE)-AJ111</f>
        <v>1.913946653075982E-05</v>
      </c>
    </row>
    <row r="112" spans="1:44" s="35" customFormat="1" ht="15">
      <c r="A112" s="59"/>
      <c r="B112" s="59"/>
      <c r="C112" s="59"/>
      <c r="D112" s="59"/>
      <c r="E112" s="59"/>
      <c r="F112" s="59"/>
      <c r="G112" s="59"/>
      <c r="H112" s="59"/>
      <c r="I112" s="156"/>
      <c r="J112" s="159"/>
      <c r="K112" s="59"/>
      <c r="L112" s="59"/>
      <c r="M112" s="59"/>
      <c r="N112" s="59"/>
      <c r="O112" s="59"/>
      <c r="P112" s="59"/>
      <c r="Q112" s="59"/>
      <c r="R112" s="59"/>
      <c r="S112" s="59"/>
      <c r="T112" s="59"/>
      <c r="U112" s="59"/>
      <c r="V112" s="59"/>
      <c r="W112" s="59"/>
      <c r="X112" s="59"/>
      <c r="Y112" s="59"/>
      <c r="Z112" s="59"/>
      <c r="AA112" s="113">
        <v>117</v>
      </c>
      <c r="AB112" s="114" t="s">
        <v>412</v>
      </c>
      <c r="AC112" s="115">
        <v>128012337.82000001</v>
      </c>
      <c r="AD112" s="115">
        <v>4086.347</v>
      </c>
      <c r="AE112" s="115">
        <v>29596722.400000006</v>
      </c>
      <c r="AF112" s="115">
        <v>944.772</v>
      </c>
      <c r="AG112" s="115">
        <v>79189640.37000002</v>
      </c>
      <c r="AH112" s="115">
        <v>2527.8528</v>
      </c>
      <c r="AI112" s="115">
        <v>268061393.61</v>
      </c>
      <c r="AJ112" s="115">
        <v>8556.9241</v>
      </c>
      <c r="AK112" s="164">
        <f>VLOOKUP(AA112,'FY 2005 TABLE 15'!$A$11:$M$148,6,FALSE)-AC112</f>
        <v>0</v>
      </c>
      <c r="AL112" s="164">
        <f>VLOOKUP(AA112,'FY 2005 TABLE 15'!$A$11:$M$148,7,FALSE)-AD112</f>
        <v>-2.6605939183355076E-05</v>
      </c>
      <c r="AM112" s="164">
        <f>VLOOKUP(AA112,'FY 2005 TABLE 15'!$A$11:$M$148,10,FALSE)-AE112</f>
        <v>0</v>
      </c>
      <c r="AN112" s="164">
        <f>VLOOKUP(AA112,'FY 2005 TABLE 15'!$A$11:$M$148,11,FALSE)-AF112</f>
        <v>3.573676769974554E-05</v>
      </c>
      <c r="AO112" s="164">
        <f>VLOOKUP(AA112,'FY 2005 TABLE 15'!$A$11:$M$148,4,FALSE)-AG112</f>
        <v>0</v>
      </c>
      <c r="AP112" s="164">
        <f>VLOOKUP(AA112,'FY 2005 TABLE 15'!$A$11:$M$148,5,FALSE)-AH112</f>
        <v>5.134510502102785E-06</v>
      </c>
      <c r="AQ112" s="164">
        <f>VLOOKUP(AA112,'FY 2005 TABLE 15'!$A$11:$M$148,12,FALSE)-AI112</f>
        <v>0</v>
      </c>
      <c r="AR112" s="165">
        <f>VLOOKUP(AA112,'FY 2005 TABLE 15'!$A$11:$M$148,13,FALSE)-AJ112</f>
        <v>4.5876187868998386E-05</v>
      </c>
    </row>
    <row r="113" spans="1:44" s="35" customFormat="1" ht="15">
      <c r="A113" s="59"/>
      <c r="B113" s="59"/>
      <c r="C113" s="59"/>
      <c r="D113" s="59"/>
      <c r="E113" s="59"/>
      <c r="F113" s="59"/>
      <c r="G113" s="59"/>
      <c r="H113" s="59"/>
      <c r="I113" s="156"/>
      <c r="J113" s="159"/>
      <c r="K113" s="59"/>
      <c r="L113" s="59"/>
      <c r="M113" s="59"/>
      <c r="N113" s="59"/>
      <c r="O113" s="59"/>
      <c r="P113" s="59"/>
      <c r="Q113" s="59"/>
      <c r="R113" s="59"/>
      <c r="S113" s="59"/>
      <c r="T113" s="59"/>
      <c r="U113" s="59"/>
      <c r="V113" s="59"/>
      <c r="W113" s="59"/>
      <c r="X113" s="59"/>
      <c r="Y113" s="59"/>
      <c r="Z113" s="59"/>
      <c r="AA113" s="113">
        <v>118</v>
      </c>
      <c r="AB113" s="114" t="s">
        <v>413</v>
      </c>
      <c r="AC113" s="115">
        <v>142523954.42</v>
      </c>
      <c r="AD113" s="115">
        <v>4230.0736</v>
      </c>
      <c r="AE113" s="115">
        <v>35861849.56000001</v>
      </c>
      <c r="AF113" s="115">
        <v>1064.3703</v>
      </c>
      <c r="AG113" s="115">
        <v>95178369.37999994</v>
      </c>
      <c r="AH113" s="115">
        <v>2824.869</v>
      </c>
      <c r="AI113" s="115">
        <v>305784352.43999994</v>
      </c>
      <c r="AJ113" s="115">
        <v>9075.5994</v>
      </c>
      <c r="AK113" s="164">
        <f>VLOOKUP(AA113,'FY 2005 TABLE 15'!$A$11:$M$148,6,FALSE)-AC113</f>
        <v>0</v>
      </c>
      <c r="AL113" s="164">
        <f>VLOOKUP(AA113,'FY 2005 TABLE 15'!$A$11:$M$148,7,FALSE)-AD113</f>
        <v>4.0744362195255235E-07</v>
      </c>
      <c r="AM113" s="164">
        <f>VLOOKUP(AA113,'FY 2005 TABLE 15'!$A$11:$M$148,10,FALSE)-AE113</f>
        <v>0</v>
      </c>
      <c r="AN113" s="164">
        <f>VLOOKUP(AA113,'FY 2005 TABLE 15'!$A$11:$M$148,11,FALSE)-AF113</f>
        <v>-7.2806174102879595E-06</v>
      </c>
      <c r="AO113" s="164">
        <f>VLOOKUP(AA113,'FY 2005 TABLE 15'!$A$11:$M$148,4,FALSE)-AG113</f>
        <v>0</v>
      </c>
      <c r="AP113" s="164">
        <f>VLOOKUP(AA113,'FY 2005 TABLE 15'!$A$11:$M$148,5,FALSE)-AH113</f>
        <v>4.9435163873567944E-05</v>
      </c>
      <c r="AQ113" s="164">
        <f>VLOOKUP(AA113,'FY 2005 TABLE 15'!$A$11:$M$148,12,FALSE)-AI113</f>
        <v>0</v>
      </c>
      <c r="AR113" s="165">
        <f>VLOOKUP(AA113,'FY 2005 TABLE 15'!$A$11:$M$148,13,FALSE)-AJ113</f>
        <v>1.0204250429524109E-05</v>
      </c>
    </row>
    <row r="114" spans="1:44" s="35" customFormat="1" ht="15">
      <c r="A114" s="59"/>
      <c r="B114" s="59"/>
      <c r="C114" s="59"/>
      <c r="D114" s="59"/>
      <c r="E114" s="59"/>
      <c r="F114" s="59"/>
      <c r="G114" s="59"/>
      <c r="H114" s="59"/>
      <c r="I114" s="156"/>
      <c r="J114" s="159"/>
      <c r="K114" s="59"/>
      <c r="L114" s="59"/>
      <c r="M114" s="59"/>
      <c r="N114" s="59"/>
      <c r="O114" s="59"/>
      <c r="P114" s="59"/>
      <c r="Q114" s="59"/>
      <c r="R114" s="59"/>
      <c r="S114" s="59"/>
      <c r="T114" s="59"/>
      <c r="U114" s="59"/>
      <c r="V114" s="59"/>
      <c r="W114" s="59"/>
      <c r="X114" s="59"/>
      <c r="Y114" s="59"/>
      <c r="Z114" s="59"/>
      <c r="AA114" s="113">
        <v>119</v>
      </c>
      <c r="AB114" s="114" t="s">
        <v>414</v>
      </c>
      <c r="AC114" s="115">
        <v>2968972.59</v>
      </c>
      <c r="AD114" s="115">
        <v>4130.3422</v>
      </c>
      <c r="AE114" s="115">
        <v>908041.91</v>
      </c>
      <c r="AF114" s="115">
        <v>1263.2396</v>
      </c>
      <c r="AG114" s="115">
        <v>1314987.67</v>
      </c>
      <c r="AH114" s="115">
        <v>1829.3699</v>
      </c>
      <c r="AI114" s="115">
        <v>5779119.489999999</v>
      </c>
      <c r="AJ114" s="115">
        <v>8039.7311</v>
      </c>
      <c r="AK114" s="164">
        <f>VLOOKUP(AA114,'FY 2005 TABLE 15'!$A$11:$M$148,6,FALSE)-AC114</f>
        <v>0</v>
      </c>
      <c r="AL114" s="164">
        <f>VLOOKUP(AA114,'FY 2005 TABLE 15'!$A$11:$M$148,7,FALSE)-AD114</f>
        <v>1.3627889529743697E-05</v>
      </c>
      <c r="AM114" s="164">
        <f>VLOOKUP(AA114,'FY 2005 TABLE 15'!$A$11:$M$148,10,FALSE)-AE114</f>
        <v>0</v>
      </c>
      <c r="AN114" s="164">
        <f>VLOOKUP(AA114,'FY 2005 TABLE 15'!$A$11:$M$148,11,FALSE)-AF114</f>
        <v>2.8836147976107895E-05</v>
      </c>
      <c r="AO114" s="164">
        <f>VLOOKUP(AA114,'FY 2005 TABLE 15'!$A$11:$M$148,4,FALSE)-AG114</f>
        <v>0</v>
      </c>
      <c r="AP114" s="164">
        <f>VLOOKUP(AA114,'FY 2005 TABLE 15'!$A$11:$M$148,5,FALSE)-AH114</f>
        <v>-2.11179576581344E-06</v>
      </c>
      <c r="AQ114" s="164">
        <f>VLOOKUP(AA114,'FY 2005 TABLE 15'!$A$11:$M$148,12,FALSE)-AI114</f>
        <v>0</v>
      </c>
      <c r="AR114" s="165">
        <f>VLOOKUP(AA114,'FY 2005 TABLE 15'!$A$11:$M$148,13,FALSE)-AJ114</f>
        <v>-2.6852342671190854E-05</v>
      </c>
    </row>
    <row r="115" spans="1:44" s="35" customFormat="1" ht="15">
      <c r="A115" s="59"/>
      <c r="B115" s="59"/>
      <c r="C115" s="59"/>
      <c r="D115" s="59"/>
      <c r="E115" s="59"/>
      <c r="F115" s="59"/>
      <c r="G115" s="59"/>
      <c r="H115" s="59"/>
      <c r="I115" s="156"/>
      <c r="J115" s="159"/>
      <c r="K115" s="59"/>
      <c r="L115" s="59"/>
      <c r="M115" s="59"/>
      <c r="N115" s="59"/>
      <c r="O115" s="59"/>
      <c r="P115" s="59"/>
      <c r="Q115" s="59"/>
      <c r="R115" s="59"/>
      <c r="S115" s="59"/>
      <c r="T115" s="59"/>
      <c r="U115" s="59"/>
      <c r="V115" s="59"/>
      <c r="W115" s="59"/>
      <c r="X115" s="59"/>
      <c r="Y115" s="59"/>
      <c r="Z115" s="59"/>
      <c r="AA115" s="113">
        <v>120</v>
      </c>
      <c r="AB115" s="114" t="s">
        <v>415</v>
      </c>
      <c r="AC115" s="115">
        <v>26735959.959999993</v>
      </c>
      <c r="AD115" s="115">
        <v>5306.249</v>
      </c>
      <c r="AE115" s="115">
        <v>6401704.660000002</v>
      </c>
      <c r="AF115" s="115">
        <v>1270.5375</v>
      </c>
      <c r="AG115" s="115">
        <v>7819401.179999994</v>
      </c>
      <c r="AH115" s="115">
        <v>1551.9057</v>
      </c>
      <c r="AI115" s="115">
        <v>44881809.83999999</v>
      </c>
      <c r="AJ115" s="115">
        <v>8907.6307</v>
      </c>
      <c r="AK115" s="164">
        <f>VLOOKUP(AA115,'FY 2005 TABLE 15'!$A$11:$M$148,6,FALSE)-AC115</f>
        <v>0</v>
      </c>
      <c r="AL115" s="164">
        <f>VLOOKUP(AA115,'FY 2005 TABLE 15'!$A$11:$M$148,7,FALSE)-AD115</f>
        <v>-2.5090403141803108E-05</v>
      </c>
      <c r="AM115" s="164">
        <f>VLOOKUP(AA115,'FY 2005 TABLE 15'!$A$11:$M$148,10,FALSE)-AE115</f>
        <v>0</v>
      </c>
      <c r="AN115" s="164">
        <f>VLOOKUP(AA115,'FY 2005 TABLE 15'!$A$11:$M$148,11,FALSE)-AF115</f>
        <v>-3.5079327290077345E-05</v>
      </c>
      <c r="AO115" s="164">
        <f>VLOOKUP(AA115,'FY 2005 TABLE 15'!$A$11:$M$148,4,FALSE)-AG115</f>
        <v>0</v>
      </c>
      <c r="AP115" s="164">
        <f>VLOOKUP(AA115,'FY 2005 TABLE 15'!$A$11:$M$148,5,FALSE)-AH115</f>
        <v>3.1376695915241726E-05</v>
      </c>
      <c r="AQ115" s="164">
        <f>VLOOKUP(AA115,'FY 2005 TABLE 15'!$A$11:$M$148,12,FALSE)-AI115</f>
        <v>0</v>
      </c>
      <c r="AR115" s="165">
        <f>VLOOKUP(AA115,'FY 2005 TABLE 15'!$A$11:$M$148,13,FALSE)-AJ115</f>
        <v>-1.0400948667665944E-05</v>
      </c>
    </row>
    <row r="116" spans="1:44" s="35" customFormat="1" ht="15">
      <c r="A116" s="59"/>
      <c r="B116" s="59"/>
      <c r="C116" s="59"/>
      <c r="D116" s="59"/>
      <c r="E116" s="59"/>
      <c r="F116" s="59"/>
      <c r="G116" s="59"/>
      <c r="H116" s="59"/>
      <c r="I116" s="156"/>
      <c r="J116" s="159"/>
      <c r="K116" s="59"/>
      <c r="L116" s="59"/>
      <c r="M116" s="59"/>
      <c r="N116" s="59"/>
      <c r="O116" s="59"/>
      <c r="P116" s="59"/>
      <c r="Q116" s="59"/>
      <c r="R116" s="59"/>
      <c r="S116" s="59"/>
      <c r="T116" s="59"/>
      <c r="U116" s="59"/>
      <c r="V116" s="59"/>
      <c r="W116" s="59"/>
      <c r="X116" s="59"/>
      <c r="Y116" s="59"/>
      <c r="Z116" s="59"/>
      <c r="AA116" s="113">
        <v>121</v>
      </c>
      <c r="AB116" s="114" t="s">
        <v>416</v>
      </c>
      <c r="AC116" s="115">
        <v>72078138.96000001</v>
      </c>
      <c r="AD116" s="115">
        <v>4735.8543</v>
      </c>
      <c r="AE116" s="115">
        <v>15586683.049999997</v>
      </c>
      <c r="AF116" s="115">
        <v>1024.1144</v>
      </c>
      <c r="AG116" s="115">
        <v>32881851.05000007</v>
      </c>
      <c r="AH116" s="115">
        <v>2160.4838</v>
      </c>
      <c r="AI116" s="115">
        <v>133082701.90000008</v>
      </c>
      <c r="AJ116" s="115">
        <v>8744.1253</v>
      </c>
      <c r="AK116" s="164">
        <f>VLOOKUP(AA116,'FY 2005 TABLE 15'!$A$11:$M$148,6,FALSE)-AC116</f>
        <v>0</v>
      </c>
      <c r="AL116" s="164">
        <f>VLOOKUP(AA116,'FY 2005 TABLE 15'!$A$11:$M$148,7,FALSE)-AD116</f>
        <v>-4.297602936276235E-05</v>
      </c>
      <c r="AM116" s="164">
        <f>VLOOKUP(AA116,'FY 2005 TABLE 15'!$A$11:$M$148,10,FALSE)-AE116</f>
        <v>0</v>
      </c>
      <c r="AN116" s="164">
        <f>VLOOKUP(AA116,'FY 2005 TABLE 15'!$A$11:$M$148,11,FALSE)-AF116</f>
        <v>-1.0529006431170274E-05</v>
      </c>
      <c r="AO116" s="164">
        <f>VLOOKUP(AA116,'FY 2005 TABLE 15'!$A$11:$M$148,4,FALSE)-AG116</f>
        <v>0</v>
      </c>
      <c r="AP116" s="164">
        <f>VLOOKUP(AA116,'FY 2005 TABLE 15'!$A$11:$M$148,5,FALSE)-AH116</f>
        <v>3.769162367461831E-05</v>
      </c>
      <c r="AQ116" s="164">
        <f>VLOOKUP(AA116,'FY 2005 TABLE 15'!$A$11:$M$148,12,FALSE)-AI116</f>
        <v>0</v>
      </c>
      <c r="AR116" s="165">
        <f>VLOOKUP(AA116,'FY 2005 TABLE 15'!$A$11:$M$148,13,FALSE)-AJ116</f>
        <v>2.5976192773669027E-05</v>
      </c>
    </row>
    <row r="117" spans="1:44" s="35" customFormat="1" ht="15">
      <c r="A117" s="59"/>
      <c r="B117" s="59"/>
      <c r="C117" s="59"/>
      <c r="D117" s="59"/>
      <c r="E117" s="59"/>
      <c r="F117" s="59"/>
      <c r="G117" s="59"/>
      <c r="H117" s="59"/>
      <c r="I117" s="156"/>
      <c r="J117" s="159"/>
      <c r="K117" s="59"/>
      <c r="L117" s="59"/>
      <c r="M117" s="59"/>
      <c r="N117" s="59"/>
      <c r="O117" s="59"/>
      <c r="P117" s="59"/>
      <c r="Q117" s="59"/>
      <c r="R117" s="59"/>
      <c r="S117" s="59"/>
      <c r="T117" s="59"/>
      <c r="U117" s="59"/>
      <c r="V117" s="59"/>
      <c r="W117" s="59"/>
      <c r="X117" s="59"/>
      <c r="Y117" s="59"/>
      <c r="Z117" s="59"/>
      <c r="AA117" s="113">
        <v>122</v>
      </c>
      <c r="AB117" s="114" t="s">
        <v>417</v>
      </c>
      <c r="AC117" s="115">
        <v>6084466.409999999</v>
      </c>
      <c r="AD117" s="115">
        <v>3981.5377</v>
      </c>
      <c r="AE117" s="115">
        <v>771987.47</v>
      </c>
      <c r="AF117" s="115">
        <v>505.1712</v>
      </c>
      <c r="AG117" s="115">
        <v>4517219.020000006</v>
      </c>
      <c r="AH117" s="115">
        <v>2955.9663</v>
      </c>
      <c r="AI117" s="115">
        <v>12490374.190000005</v>
      </c>
      <c r="AJ117" s="115">
        <v>8173.4193</v>
      </c>
      <c r="AK117" s="164">
        <f>VLOOKUP(AA117,'FY 2005 TABLE 15'!$A$11:$M$148,6,FALSE)-AC117</f>
        <v>0</v>
      </c>
      <c r="AL117" s="164">
        <f>VLOOKUP(AA117,'FY 2005 TABLE 15'!$A$11:$M$148,7,FALSE)-AD117</f>
        <v>-3.7305404930521036E-05</v>
      </c>
      <c r="AM117" s="164">
        <f>VLOOKUP(AA117,'FY 2005 TABLE 15'!$A$11:$M$148,10,FALSE)-AE117</f>
        <v>0</v>
      </c>
      <c r="AN117" s="164">
        <f>VLOOKUP(AA117,'FY 2005 TABLE 15'!$A$11:$M$148,11,FALSE)-AF117</f>
        <v>-1.7694366647447168E-06</v>
      </c>
      <c r="AO117" s="164">
        <f>VLOOKUP(AA117,'FY 2005 TABLE 15'!$A$11:$M$148,4,FALSE)-AG117</f>
        <v>0</v>
      </c>
      <c r="AP117" s="164">
        <f>VLOOKUP(AA117,'FY 2005 TABLE 15'!$A$11:$M$148,5,FALSE)-AH117</f>
        <v>-4.3908448787988164E-07</v>
      </c>
      <c r="AQ117" s="164">
        <f>VLOOKUP(AA117,'FY 2005 TABLE 15'!$A$11:$M$148,12,FALSE)-AI117</f>
        <v>0</v>
      </c>
      <c r="AR117" s="165">
        <f>VLOOKUP(AA117,'FY 2005 TABLE 15'!$A$11:$M$148,13,FALSE)-AJ117</f>
        <v>1.1987543985014781E-05</v>
      </c>
    </row>
    <row r="118" spans="1:44" s="35" customFormat="1" ht="15">
      <c r="A118" s="59"/>
      <c r="B118" s="59"/>
      <c r="C118" s="59"/>
      <c r="D118" s="59"/>
      <c r="E118" s="59"/>
      <c r="F118" s="59"/>
      <c r="G118" s="59"/>
      <c r="H118" s="59"/>
      <c r="I118" s="156"/>
      <c r="J118" s="159"/>
      <c r="K118" s="59"/>
      <c r="L118" s="59"/>
      <c r="M118" s="59"/>
      <c r="N118" s="59"/>
      <c r="O118" s="59"/>
      <c r="P118" s="59"/>
      <c r="Q118" s="59"/>
      <c r="R118" s="59"/>
      <c r="S118" s="59"/>
      <c r="T118" s="59"/>
      <c r="U118" s="59"/>
      <c r="V118" s="59"/>
      <c r="W118" s="59"/>
      <c r="X118" s="59"/>
      <c r="Y118" s="59"/>
      <c r="Z118" s="59"/>
      <c r="AA118" s="113">
        <v>123</v>
      </c>
      <c r="AB118" s="114" t="s">
        <v>418</v>
      </c>
      <c r="AC118" s="115">
        <v>86448634.71000002</v>
      </c>
      <c r="AD118" s="115">
        <v>3696.8823</v>
      </c>
      <c r="AE118" s="115">
        <v>33064331.769999996</v>
      </c>
      <c r="AF118" s="115">
        <v>1413.9604</v>
      </c>
      <c r="AG118" s="115">
        <v>141363248.2799996</v>
      </c>
      <c r="AH118" s="115">
        <v>6045.2463</v>
      </c>
      <c r="AI118" s="115">
        <v>285307087.72999966</v>
      </c>
      <c r="AJ118" s="115">
        <v>12200.8488</v>
      </c>
      <c r="AK118" s="164">
        <f>VLOOKUP(AA118,'FY 2005 TABLE 15'!$A$11:$M$148,6,FALSE)-AC118</f>
        <v>0</v>
      </c>
      <c r="AL118" s="164">
        <f>VLOOKUP(AA118,'FY 2005 TABLE 15'!$A$11:$M$148,7,FALSE)-AD118</f>
        <v>-1.580810931045562E-05</v>
      </c>
      <c r="AM118" s="164">
        <f>VLOOKUP(AA118,'FY 2005 TABLE 15'!$A$11:$M$148,10,FALSE)-AE118</f>
        <v>0</v>
      </c>
      <c r="AN118" s="164">
        <f>VLOOKUP(AA118,'FY 2005 TABLE 15'!$A$11:$M$148,11,FALSE)-AF118</f>
        <v>-4.343445584709116E-05</v>
      </c>
      <c r="AO118" s="164">
        <f>VLOOKUP(AA118,'FY 2005 TABLE 15'!$A$11:$M$148,4,FALSE)-AG118</f>
        <v>0</v>
      </c>
      <c r="AP118" s="164">
        <f>VLOOKUP(AA118,'FY 2005 TABLE 15'!$A$11:$M$148,5,FALSE)-AH118</f>
        <v>-1.0625137292663567E-05</v>
      </c>
      <c r="AQ118" s="164">
        <f>VLOOKUP(AA118,'FY 2005 TABLE 15'!$A$11:$M$148,12,FALSE)-AI118</f>
        <v>0</v>
      </c>
      <c r="AR118" s="165">
        <f>VLOOKUP(AA118,'FY 2005 TABLE 15'!$A$11:$M$148,13,FALSE)-AJ118</f>
        <v>-3.3311396691715345E-05</v>
      </c>
    </row>
    <row r="119" spans="1:44" s="35" customFormat="1" ht="15">
      <c r="A119" s="59"/>
      <c r="B119" s="59"/>
      <c r="C119" s="59"/>
      <c r="D119" s="59"/>
      <c r="E119" s="59"/>
      <c r="F119" s="59"/>
      <c r="G119" s="59"/>
      <c r="H119" s="59"/>
      <c r="I119" s="156"/>
      <c r="J119" s="159"/>
      <c r="K119" s="59"/>
      <c r="L119" s="59"/>
      <c r="M119" s="59"/>
      <c r="N119" s="59"/>
      <c r="O119" s="59"/>
      <c r="P119" s="59"/>
      <c r="Q119" s="59"/>
      <c r="R119" s="59"/>
      <c r="S119" s="59"/>
      <c r="T119" s="59"/>
      <c r="U119" s="59"/>
      <c r="V119" s="59"/>
      <c r="W119" s="59"/>
      <c r="X119" s="59"/>
      <c r="Y119" s="59"/>
      <c r="Z119" s="59"/>
      <c r="AA119" s="113">
        <v>124</v>
      </c>
      <c r="AB119" s="114" t="s">
        <v>419</v>
      </c>
      <c r="AC119" s="115">
        <v>49803998.25999999</v>
      </c>
      <c r="AD119" s="115">
        <v>3917.0315</v>
      </c>
      <c r="AE119" s="115">
        <v>14171678.05</v>
      </c>
      <c r="AF119" s="115">
        <v>1114.5874</v>
      </c>
      <c r="AG119" s="115">
        <v>48034081.96000022</v>
      </c>
      <c r="AH119" s="115">
        <v>3777.8295</v>
      </c>
      <c r="AI119" s="115">
        <v>123200990.6300002</v>
      </c>
      <c r="AJ119" s="115">
        <v>9689.627</v>
      </c>
      <c r="AK119" s="164">
        <f>VLOOKUP(AA119,'FY 2005 TABLE 15'!$A$11:$M$148,6,FALSE)-AC119</f>
        <v>0</v>
      </c>
      <c r="AL119" s="164">
        <f>VLOOKUP(AA119,'FY 2005 TABLE 15'!$A$11:$M$148,7,FALSE)-AD119</f>
        <v>2.642643539729761E-05</v>
      </c>
      <c r="AM119" s="164">
        <f>VLOOKUP(AA119,'FY 2005 TABLE 15'!$A$11:$M$148,10,FALSE)-AE119</f>
        <v>0</v>
      </c>
      <c r="AN119" s="164">
        <f>VLOOKUP(AA119,'FY 2005 TABLE 15'!$A$11:$M$148,11,FALSE)-AF119</f>
        <v>1.554087293698103E-05</v>
      </c>
      <c r="AO119" s="164">
        <f>VLOOKUP(AA119,'FY 2005 TABLE 15'!$A$11:$M$148,4,FALSE)-AG119</f>
        <v>0</v>
      </c>
      <c r="AP119" s="164">
        <f>VLOOKUP(AA119,'FY 2005 TABLE 15'!$A$11:$M$148,5,FALSE)-AH119</f>
        <v>-9.322634468844626E-06</v>
      </c>
      <c r="AQ119" s="164">
        <f>VLOOKUP(AA119,'FY 2005 TABLE 15'!$A$11:$M$148,12,FALSE)-AI119</f>
        <v>0</v>
      </c>
      <c r="AR119" s="165">
        <f>VLOOKUP(AA119,'FY 2005 TABLE 15'!$A$11:$M$148,13,FALSE)-AJ119</f>
        <v>-3.741406908375211E-05</v>
      </c>
    </row>
    <row r="120" spans="1:44" s="35" customFormat="1" ht="15">
      <c r="A120" s="59"/>
      <c r="B120" s="59"/>
      <c r="C120" s="59"/>
      <c r="D120" s="59"/>
      <c r="E120" s="59"/>
      <c r="F120" s="59"/>
      <c r="G120" s="59"/>
      <c r="H120" s="59"/>
      <c r="I120" s="156"/>
      <c r="J120" s="159"/>
      <c r="K120" s="59"/>
      <c r="L120" s="59"/>
      <c r="M120" s="59"/>
      <c r="N120" s="59"/>
      <c r="O120" s="59"/>
      <c r="P120" s="59"/>
      <c r="Q120" s="59"/>
      <c r="R120" s="59"/>
      <c r="S120" s="59"/>
      <c r="T120" s="59"/>
      <c r="U120" s="59"/>
      <c r="V120" s="59"/>
      <c r="W120" s="59"/>
      <c r="X120" s="59"/>
      <c r="Y120" s="59"/>
      <c r="Z120" s="59"/>
      <c r="AA120" s="113">
        <v>126</v>
      </c>
      <c r="AB120" s="114" t="s">
        <v>420</v>
      </c>
      <c r="AC120" s="115">
        <v>8670760.329999998</v>
      </c>
      <c r="AD120" s="115">
        <v>3292.7605</v>
      </c>
      <c r="AE120" s="115">
        <v>2118897.12</v>
      </c>
      <c r="AF120" s="115">
        <v>804.6608</v>
      </c>
      <c r="AG120" s="115">
        <v>10467189.100000009</v>
      </c>
      <c r="AH120" s="115">
        <v>3974.9624</v>
      </c>
      <c r="AI120" s="115">
        <v>24015674.01000001</v>
      </c>
      <c r="AJ120" s="115">
        <v>9120.0609</v>
      </c>
      <c r="AK120" s="164">
        <f>VLOOKUP(AA120,'FY 2005 TABLE 15'!$A$11:$M$148,6,FALSE)-AC120</f>
        <v>0</v>
      </c>
      <c r="AL120" s="164">
        <f>VLOOKUP(AA120,'FY 2005 TABLE 15'!$A$11:$M$148,7,FALSE)-AD120</f>
        <v>-1.4977519185777055E-05</v>
      </c>
      <c r="AM120" s="164">
        <f>VLOOKUP(AA120,'FY 2005 TABLE 15'!$A$11:$M$148,10,FALSE)-AE120</f>
        <v>0</v>
      </c>
      <c r="AN120" s="164">
        <f>VLOOKUP(AA120,'FY 2005 TABLE 15'!$A$11:$M$148,11,FALSE)-AF120</f>
        <v>-2.7123587301502994E-05</v>
      </c>
      <c r="AO120" s="164">
        <f>VLOOKUP(AA120,'FY 2005 TABLE 15'!$A$11:$M$148,4,FALSE)-AG120</f>
        <v>0</v>
      </c>
      <c r="AP120" s="164">
        <f>VLOOKUP(AA120,'FY 2005 TABLE 15'!$A$11:$M$148,5,FALSE)-AH120</f>
        <v>4.2277315060346154E-05</v>
      </c>
      <c r="AQ120" s="164">
        <f>VLOOKUP(AA120,'FY 2005 TABLE 15'!$A$11:$M$148,12,FALSE)-AI120</f>
        <v>0</v>
      </c>
      <c r="AR120" s="165">
        <f>VLOOKUP(AA120,'FY 2005 TABLE 15'!$A$11:$M$148,13,FALSE)-AJ120</f>
        <v>1.642362622078508E-05</v>
      </c>
    </row>
    <row r="121" spans="1:44" s="35" customFormat="1" ht="15">
      <c r="A121" s="59"/>
      <c r="B121" s="59"/>
      <c r="C121" s="59"/>
      <c r="D121" s="59"/>
      <c r="E121" s="59"/>
      <c r="F121" s="59"/>
      <c r="G121" s="59"/>
      <c r="H121" s="59"/>
      <c r="I121" s="156"/>
      <c r="J121" s="159"/>
      <c r="K121" s="59"/>
      <c r="L121" s="59"/>
      <c r="M121" s="59"/>
      <c r="N121" s="59"/>
      <c r="O121" s="59"/>
      <c r="P121" s="59"/>
      <c r="Q121" s="59"/>
      <c r="R121" s="59"/>
      <c r="S121" s="59"/>
      <c r="T121" s="59"/>
      <c r="U121" s="59"/>
      <c r="V121" s="59"/>
      <c r="W121" s="59"/>
      <c r="X121" s="59"/>
      <c r="Y121" s="59"/>
      <c r="Z121" s="59"/>
      <c r="AA121" s="113">
        <v>127</v>
      </c>
      <c r="AB121" s="114" t="s">
        <v>421</v>
      </c>
      <c r="AC121" s="115">
        <v>49744662.53</v>
      </c>
      <c r="AD121" s="115">
        <v>3731.6147</v>
      </c>
      <c r="AE121" s="115">
        <v>10090350.700000003</v>
      </c>
      <c r="AF121" s="115">
        <v>756.9315</v>
      </c>
      <c r="AG121" s="115">
        <v>35761533.29000006</v>
      </c>
      <c r="AH121" s="115">
        <v>2682.6649</v>
      </c>
      <c r="AI121" s="115">
        <v>107157281.34000006</v>
      </c>
      <c r="AJ121" s="115">
        <v>8038.444</v>
      </c>
      <c r="AK121" s="164">
        <f>VLOOKUP(AA121,'FY 2005 TABLE 15'!$A$11:$M$148,6,FALSE)-AC121</f>
        <v>0</v>
      </c>
      <c r="AL121" s="164">
        <f>VLOOKUP(AA121,'FY 2005 TABLE 15'!$A$11:$M$148,7,FALSE)-AD121</f>
        <v>-2.924249474745011E-05</v>
      </c>
      <c r="AM121" s="164">
        <f>VLOOKUP(AA121,'FY 2005 TABLE 15'!$A$11:$M$148,10,FALSE)-AE121</f>
        <v>0</v>
      </c>
      <c r="AN121" s="164">
        <f>VLOOKUP(AA121,'FY 2005 TABLE 15'!$A$11:$M$148,11,FALSE)-AF121</f>
        <v>-2.6547942184151907E-05</v>
      </c>
      <c r="AO121" s="164">
        <f>VLOOKUP(AA121,'FY 2005 TABLE 15'!$A$11:$M$148,4,FALSE)-AG121</f>
        <v>0</v>
      </c>
      <c r="AP121" s="164">
        <f>VLOOKUP(AA121,'FY 2005 TABLE 15'!$A$11:$M$148,5,FALSE)-AH121</f>
        <v>4.306333175918553E-05</v>
      </c>
      <c r="AQ121" s="164">
        <f>VLOOKUP(AA121,'FY 2005 TABLE 15'!$A$11:$M$148,12,FALSE)-AI121</f>
        <v>0</v>
      </c>
      <c r="AR121" s="165">
        <f>VLOOKUP(AA121,'FY 2005 TABLE 15'!$A$11:$M$148,13,FALSE)-AJ121</f>
        <v>-1.8483785424905363E-05</v>
      </c>
    </row>
    <row r="122" spans="1:44" ht="15">
      <c r="A122" s="59"/>
      <c r="B122" s="59"/>
      <c r="C122" s="59"/>
      <c r="D122" s="59"/>
      <c r="E122" s="59"/>
      <c r="F122" s="59"/>
      <c r="G122" s="59"/>
      <c r="H122" s="59"/>
      <c r="I122" s="155"/>
      <c r="J122" s="82"/>
      <c r="K122" s="58"/>
      <c r="L122" s="58"/>
      <c r="M122" s="58"/>
      <c r="N122" s="58"/>
      <c r="O122" s="58"/>
      <c r="P122" s="58"/>
      <c r="Q122" s="58"/>
      <c r="R122" s="58"/>
      <c r="S122" s="58"/>
      <c r="T122" s="58"/>
      <c r="U122" s="58"/>
      <c r="V122" s="58"/>
      <c r="W122" s="58"/>
      <c r="X122" s="58"/>
      <c r="Y122" s="58"/>
      <c r="Z122" s="58"/>
      <c r="AA122" s="113">
        <v>128</v>
      </c>
      <c r="AB122" s="114" t="s">
        <v>422</v>
      </c>
      <c r="AC122" s="115">
        <v>247384614.45000002</v>
      </c>
      <c r="AD122" s="115">
        <v>3332.6842</v>
      </c>
      <c r="AE122" s="115">
        <v>58256932.730000004</v>
      </c>
      <c r="AF122" s="115">
        <v>784.8182</v>
      </c>
      <c r="AG122" s="115">
        <v>270318729.35999984</v>
      </c>
      <c r="AH122" s="115">
        <v>3641.645</v>
      </c>
      <c r="AI122" s="115">
        <v>640821835.4899999</v>
      </c>
      <c r="AJ122" s="115">
        <v>8632.9411</v>
      </c>
      <c r="AK122" s="164">
        <f>VLOOKUP(AA122,'FY 2005 TABLE 15'!$A$11:$M$148,6,FALSE)-AC122</f>
        <v>0</v>
      </c>
      <c r="AL122" s="164">
        <f>VLOOKUP(AA122,'FY 2005 TABLE 15'!$A$11:$M$148,7,FALSE)-AD122</f>
        <v>-6.5543449636606965E-06</v>
      </c>
      <c r="AM122" s="164">
        <f>VLOOKUP(AA122,'FY 2005 TABLE 15'!$A$11:$M$148,10,FALSE)-AE122</f>
        <v>0</v>
      </c>
      <c r="AN122" s="164">
        <f>VLOOKUP(AA122,'FY 2005 TABLE 15'!$A$11:$M$148,11,FALSE)-AF122</f>
        <v>4.465740471459867E-05</v>
      </c>
      <c r="AO122" s="164">
        <f>VLOOKUP(AA122,'FY 2005 TABLE 15'!$A$11:$M$148,4,FALSE)-AG122</f>
        <v>0</v>
      </c>
      <c r="AP122" s="164">
        <f>VLOOKUP(AA122,'FY 2005 TABLE 15'!$A$11:$M$148,5,FALSE)-AH122</f>
        <v>4.948414152750047E-05</v>
      </c>
      <c r="AQ122" s="164">
        <f>VLOOKUP(AA122,'FY 2005 TABLE 15'!$A$11:$M$148,12,FALSE)-AI122</f>
        <v>0</v>
      </c>
      <c r="AR122" s="165">
        <f>VLOOKUP(AA122,'FY 2005 TABLE 15'!$A$11:$M$148,13,FALSE)-AJ122</f>
        <v>-1.4716777513967827E-05</v>
      </c>
    </row>
    <row r="123" spans="1:44" ht="15">
      <c r="A123" s="59"/>
      <c r="B123" s="59"/>
      <c r="C123" s="59"/>
      <c r="D123" s="59"/>
      <c r="E123" s="59"/>
      <c r="F123" s="59"/>
      <c r="G123" s="59"/>
      <c r="H123" s="59"/>
      <c r="I123" s="155"/>
      <c r="J123" s="82"/>
      <c r="K123" s="58"/>
      <c r="L123" s="58"/>
      <c r="M123" s="58"/>
      <c r="N123" s="58"/>
      <c r="O123" s="58"/>
      <c r="P123" s="58"/>
      <c r="Q123" s="58"/>
      <c r="R123" s="58"/>
      <c r="S123" s="58"/>
      <c r="T123" s="58"/>
      <c r="U123" s="58"/>
      <c r="V123" s="58"/>
      <c r="W123" s="58"/>
      <c r="X123" s="58"/>
      <c r="Y123" s="58"/>
      <c r="Z123" s="58"/>
      <c r="AA123" s="113">
        <v>130</v>
      </c>
      <c r="AB123" s="114" t="s">
        <v>423</v>
      </c>
      <c r="AC123" s="115">
        <v>10869281.28</v>
      </c>
      <c r="AD123" s="115">
        <v>3698.003</v>
      </c>
      <c r="AE123" s="115">
        <v>2318801.58</v>
      </c>
      <c r="AF123" s="115">
        <v>788.9146</v>
      </c>
      <c r="AG123" s="115">
        <v>10214531.699999994</v>
      </c>
      <c r="AH123" s="115">
        <v>3475.2407</v>
      </c>
      <c r="AI123" s="115">
        <v>25908433.999999993</v>
      </c>
      <c r="AJ123" s="115">
        <v>8814.7011</v>
      </c>
      <c r="AK123" s="164">
        <f>VLOOKUP(AA123,'FY 2005 TABLE 15'!$A$11:$M$148,6,FALSE)-AC123</f>
        <v>0</v>
      </c>
      <c r="AL123" s="164">
        <f>VLOOKUP(AA123,'FY 2005 TABLE 15'!$A$11:$M$148,7,FALSE)-AD123</f>
        <v>-2.643209336383734E-05</v>
      </c>
      <c r="AM123" s="164">
        <f>VLOOKUP(AA123,'FY 2005 TABLE 15'!$A$11:$M$148,10,FALSE)-AE123</f>
        <v>0</v>
      </c>
      <c r="AN123" s="164">
        <f>VLOOKUP(AA123,'FY 2005 TABLE 15'!$A$11:$M$148,11,FALSE)-AF123</f>
        <v>4.090935385647754E-05</v>
      </c>
      <c r="AO123" s="164">
        <f>VLOOKUP(AA123,'FY 2005 TABLE 15'!$A$11:$M$148,4,FALSE)-AG123</f>
        <v>0</v>
      </c>
      <c r="AP123" s="164">
        <f>VLOOKUP(AA123,'FY 2005 TABLE 15'!$A$11:$M$148,5,FALSE)-AH123</f>
        <v>-7.709844339842675E-06</v>
      </c>
      <c r="AQ123" s="164">
        <f>VLOOKUP(AA123,'FY 2005 TABLE 15'!$A$11:$M$148,12,FALSE)-AI123</f>
        <v>0</v>
      </c>
      <c r="AR123" s="165">
        <f>VLOOKUP(AA123,'FY 2005 TABLE 15'!$A$11:$M$148,13,FALSE)-AJ123</f>
        <v>2.9207307306933217E-05</v>
      </c>
    </row>
    <row r="124" spans="1:44" ht="15">
      <c r="A124" s="59"/>
      <c r="B124" s="59"/>
      <c r="C124" s="59"/>
      <c r="D124" s="59"/>
      <c r="E124" s="59"/>
      <c r="F124" s="59"/>
      <c r="G124" s="59"/>
      <c r="H124" s="59"/>
      <c r="I124" s="155"/>
      <c r="J124" s="82"/>
      <c r="K124" s="58"/>
      <c r="L124" s="58"/>
      <c r="M124" s="58"/>
      <c r="N124" s="58"/>
      <c r="O124" s="58"/>
      <c r="P124" s="58"/>
      <c r="Q124" s="58"/>
      <c r="R124" s="58"/>
      <c r="S124" s="58"/>
      <c r="T124" s="58"/>
      <c r="U124" s="58"/>
      <c r="V124" s="58"/>
      <c r="W124" s="58"/>
      <c r="X124" s="58"/>
      <c r="Y124" s="58"/>
      <c r="Z124" s="58"/>
      <c r="AA124" s="113">
        <v>131</v>
      </c>
      <c r="AB124" s="114" t="s">
        <v>424</v>
      </c>
      <c r="AC124" s="115">
        <v>1067267.34</v>
      </c>
      <c r="AD124" s="115">
        <v>1485.245</v>
      </c>
      <c r="AE124" s="115">
        <v>4068623.22</v>
      </c>
      <c r="AF124" s="115">
        <v>5662.0324</v>
      </c>
      <c r="AG124" s="115">
        <v>82467453.37999998</v>
      </c>
      <c r="AH124" s="115">
        <v>114764.4707</v>
      </c>
      <c r="AI124" s="115">
        <v>88260827.03999998</v>
      </c>
      <c r="AJ124" s="115">
        <v>122826.7236</v>
      </c>
      <c r="AK124" s="164">
        <f>VLOOKUP(AA124,'FY 2005 TABLE 15'!$A$11:$M$148,6,FALSE)-AC124</f>
        <v>0</v>
      </c>
      <c r="AL124" s="164">
        <f>VLOOKUP(AA124,'FY 2005 TABLE 15'!$A$11:$M$148,7,FALSE)-AD124</f>
        <v>-1.683876530478301E-05</v>
      </c>
      <c r="AM124" s="164">
        <f>VLOOKUP(AA124,'FY 2005 TABLE 15'!$A$11:$M$148,10,FALSE)-AE124</f>
        <v>0</v>
      </c>
      <c r="AN124" s="164">
        <f>VLOOKUP(AA124,'FY 2005 TABLE 15'!$A$11:$M$148,11,FALSE)-AF124</f>
        <v>-3.0604804123868234E-05</v>
      </c>
      <c r="AO124" s="164">
        <f>VLOOKUP(AA124,'FY 2005 TABLE 15'!$A$11:$M$148,4,FALSE)-AG124</f>
        <v>-76899727.66</v>
      </c>
      <c r="AP124" s="164">
        <f>VLOOKUP(AA124,'FY 2005 TABLE 15'!$A$11:$M$148,5,FALSE)-AH124</f>
        <v>-107016.23707256815</v>
      </c>
      <c r="AQ124" s="164">
        <f>VLOOKUP(AA124,'FY 2005 TABLE 15'!$A$11:$M$148,12,FALSE)-AI124</f>
        <v>-76899727.66</v>
      </c>
      <c r="AR124" s="165">
        <f>VLOOKUP(AA124,'FY 2005 TABLE 15'!$A$11:$M$148,13,FALSE)-AJ124</f>
        <v>-107016.2371127613</v>
      </c>
    </row>
    <row r="125" spans="1:44" ht="15">
      <c r="A125" s="83"/>
      <c r="B125" s="83"/>
      <c r="C125" s="83"/>
      <c r="D125" s="83"/>
      <c r="E125" s="83"/>
      <c r="F125" s="83"/>
      <c r="G125" s="83"/>
      <c r="H125" s="83"/>
      <c r="I125" s="155"/>
      <c r="J125" s="82"/>
      <c r="K125" s="58"/>
      <c r="L125" s="58"/>
      <c r="M125" s="58"/>
      <c r="N125" s="58"/>
      <c r="O125" s="58"/>
      <c r="P125" s="58"/>
      <c r="Q125" s="58"/>
      <c r="R125" s="58"/>
      <c r="S125" s="58"/>
      <c r="T125" s="58"/>
      <c r="U125" s="58"/>
      <c r="V125" s="58"/>
      <c r="W125" s="58"/>
      <c r="X125" s="58"/>
      <c r="Y125" s="58"/>
      <c r="Z125" s="58"/>
      <c r="AA125" s="113">
        <v>132</v>
      </c>
      <c r="AB125" s="114" t="s">
        <v>425</v>
      </c>
      <c r="AC125" s="115">
        <v>10221072.5</v>
      </c>
      <c r="AD125" s="115">
        <v>2802.8971</v>
      </c>
      <c r="AE125" s="115">
        <v>2793690.4</v>
      </c>
      <c r="AF125" s="115">
        <v>766.1062</v>
      </c>
      <c r="AG125" s="115">
        <v>22299180.600000024</v>
      </c>
      <c r="AH125" s="115">
        <v>6115.044</v>
      </c>
      <c r="AI125" s="115">
        <v>38241211.96000002</v>
      </c>
      <c r="AJ125" s="115">
        <v>10486.7842</v>
      </c>
      <c r="AK125" s="164">
        <f>VLOOKUP(AA125,'FY 2005 TABLE 15'!$A$11:$M$148,6,FALSE)-AC125</f>
        <v>0</v>
      </c>
      <c r="AL125" s="164">
        <f>VLOOKUP(AA125,'FY 2005 TABLE 15'!$A$11:$M$148,7,FALSE)-AD125</f>
        <v>-2.573102165115415E-05</v>
      </c>
      <c r="AM125" s="164">
        <f>VLOOKUP(AA125,'FY 2005 TABLE 15'!$A$11:$M$148,10,FALSE)-AE125</f>
        <v>0</v>
      </c>
      <c r="AN125" s="164">
        <f>VLOOKUP(AA125,'FY 2005 TABLE 15'!$A$11:$M$148,11,FALSE)-AF125</f>
        <v>-3.5644612353280536E-05</v>
      </c>
      <c r="AO125" s="164">
        <f>VLOOKUP(AA125,'FY 2005 TABLE 15'!$A$11:$M$148,4,FALSE)-AG125</f>
        <v>0</v>
      </c>
      <c r="AP125" s="164">
        <f>VLOOKUP(AA125,'FY 2005 TABLE 15'!$A$11:$M$148,5,FALSE)-AH125</f>
        <v>-2.3034408513922244E-07</v>
      </c>
      <c r="AQ125" s="164">
        <f>VLOOKUP(AA125,'FY 2005 TABLE 15'!$A$11:$M$148,12,FALSE)-AI125</f>
        <v>0</v>
      </c>
      <c r="AR125" s="165">
        <f>VLOOKUP(AA125,'FY 2005 TABLE 15'!$A$11:$M$148,13,FALSE)-AJ125</f>
        <v>-4.704697676061187E-05</v>
      </c>
    </row>
    <row r="126" spans="1:44" ht="15">
      <c r="A126" s="83"/>
      <c r="B126" s="83"/>
      <c r="C126" s="83"/>
      <c r="D126" s="83"/>
      <c r="E126" s="83"/>
      <c r="F126" s="83"/>
      <c r="G126" s="83"/>
      <c r="H126" s="83"/>
      <c r="I126" s="155"/>
      <c r="J126" s="82"/>
      <c r="K126" s="58"/>
      <c r="L126" s="58"/>
      <c r="M126" s="58"/>
      <c r="N126" s="58"/>
      <c r="O126" s="58"/>
      <c r="P126" s="58"/>
      <c r="Q126" s="58"/>
      <c r="R126" s="58"/>
      <c r="S126" s="58"/>
      <c r="T126" s="58"/>
      <c r="U126" s="58"/>
      <c r="V126" s="58"/>
      <c r="W126" s="58"/>
      <c r="X126" s="58"/>
      <c r="Y126" s="58"/>
      <c r="Z126" s="58"/>
      <c r="AA126" s="113">
        <v>134</v>
      </c>
      <c r="AB126" s="114" t="s">
        <v>426</v>
      </c>
      <c r="AC126" s="115">
        <v>3179682.14</v>
      </c>
      <c r="AD126" s="115">
        <v>1171.3176</v>
      </c>
      <c r="AE126" s="115">
        <v>164280</v>
      </c>
      <c r="AF126" s="115">
        <v>60.5168</v>
      </c>
      <c r="AG126" s="115">
        <v>24058802.38</v>
      </c>
      <c r="AH126" s="115">
        <v>8862.6778</v>
      </c>
      <c r="AI126" s="115">
        <v>29876698</v>
      </c>
      <c r="AJ126" s="115">
        <v>11005.8491</v>
      </c>
      <c r="AK126" s="164">
        <f>VLOOKUP(AA126,'FY 2005 TABLE 15'!$A$11:$M$148,6,FALSE)-AC126</f>
        <v>0</v>
      </c>
      <c r="AL126" s="164">
        <f>VLOOKUP(AA126,'FY 2005 TABLE 15'!$A$11:$M$148,7,FALSE)-AD126</f>
        <v>-1.5955087519614608E-05</v>
      </c>
      <c r="AM126" s="164">
        <f>VLOOKUP(AA126,'FY 2005 TABLE 15'!$A$11:$M$148,10,FALSE)-AE126</f>
        <v>0</v>
      </c>
      <c r="AN126" s="164">
        <f>VLOOKUP(AA126,'FY 2005 TABLE 15'!$A$11:$M$148,11,FALSE)-AF126</f>
        <v>-4.259012311536026E-05</v>
      </c>
      <c r="AO126" s="164">
        <f>VLOOKUP(AA126,'FY 2005 TABLE 15'!$A$11:$M$148,4,FALSE)-AG126</f>
        <v>0</v>
      </c>
      <c r="AP126" s="164">
        <f>VLOOKUP(AA126,'FY 2005 TABLE 15'!$A$11:$M$148,5,FALSE)-AH126</f>
        <v>-1.0843506970559247E-05</v>
      </c>
      <c r="AQ126" s="164">
        <f>VLOOKUP(AA126,'FY 2005 TABLE 15'!$A$11:$M$148,12,FALSE)-AI126</f>
        <v>0</v>
      </c>
      <c r="AR126" s="165">
        <f>VLOOKUP(AA126,'FY 2005 TABLE 15'!$A$11:$M$148,13,FALSE)-AJ126</f>
        <v>-3.088535231654532E-05</v>
      </c>
    </row>
    <row r="127" spans="1:44" ht="15">
      <c r="A127" s="83"/>
      <c r="B127" s="83"/>
      <c r="C127" s="83"/>
      <c r="D127" s="83"/>
      <c r="E127" s="83"/>
      <c r="F127" s="83"/>
      <c r="G127" s="83"/>
      <c r="H127" s="83"/>
      <c r="I127" s="155"/>
      <c r="J127" s="82"/>
      <c r="K127" s="58"/>
      <c r="L127" s="58"/>
      <c r="M127" s="58"/>
      <c r="N127" s="58"/>
      <c r="O127" s="58"/>
      <c r="P127" s="58"/>
      <c r="Q127" s="58"/>
      <c r="R127" s="58"/>
      <c r="S127" s="58"/>
      <c r="T127" s="58"/>
      <c r="U127" s="58"/>
      <c r="V127" s="58"/>
      <c r="W127" s="58"/>
      <c r="X127" s="58"/>
      <c r="Y127" s="58"/>
      <c r="Z127" s="58"/>
      <c r="AA127" s="113">
        <v>135</v>
      </c>
      <c r="AB127" s="114" t="s">
        <v>427</v>
      </c>
      <c r="AC127" s="115">
        <v>6611600.090000001</v>
      </c>
      <c r="AD127" s="115">
        <v>4798.4556</v>
      </c>
      <c r="AE127" s="115">
        <v>2111433.44</v>
      </c>
      <c r="AF127" s="115">
        <v>1532.4006</v>
      </c>
      <c r="AG127" s="115">
        <v>4135745.55</v>
      </c>
      <c r="AH127" s="115">
        <v>3001.5717</v>
      </c>
      <c r="AI127" s="115">
        <v>13942208.059999999</v>
      </c>
      <c r="AJ127" s="115">
        <v>10118.7407</v>
      </c>
      <c r="AK127" s="164">
        <f>VLOOKUP(AA127,'FY 2005 TABLE 15'!$A$11:$M$148,6,FALSE)-AC127</f>
        <v>0</v>
      </c>
      <c r="AL127" s="164">
        <f>VLOOKUP(AA127,'FY 2005 TABLE 15'!$A$11:$M$148,7,FALSE)-AD127</f>
        <v>4.1356887777510565E-05</v>
      </c>
      <c r="AM127" s="164">
        <f>VLOOKUP(AA127,'FY 2005 TABLE 15'!$A$11:$M$148,10,FALSE)-AE127</f>
        <v>0</v>
      </c>
      <c r="AN127" s="164">
        <f>VLOOKUP(AA127,'FY 2005 TABLE 15'!$A$11:$M$148,11,FALSE)-AF127</f>
        <v>-3.680780332615541E-05</v>
      </c>
      <c r="AO127" s="164">
        <f>VLOOKUP(AA127,'FY 2005 TABLE 15'!$A$11:$M$148,4,FALSE)-AG127</f>
        <v>0</v>
      </c>
      <c r="AP127" s="164">
        <f>VLOOKUP(AA127,'FY 2005 TABLE 15'!$A$11:$M$148,5,FALSE)-AH127</f>
        <v>-2.36323007811734E-05</v>
      </c>
      <c r="AQ127" s="164">
        <f>VLOOKUP(AA127,'FY 2005 TABLE 15'!$A$11:$M$148,12,FALSE)-AI127</f>
        <v>0</v>
      </c>
      <c r="AR127" s="165">
        <f>VLOOKUP(AA127,'FY 2005 TABLE 15'!$A$11:$M$148,13,FALSE)-AJ127</f>
        <v>-6.546397344209254E-07</v>
      </c>
    </row>
    <row r="128" spans="1:44" ht="15">
      <c r="A128" s="83"/>
      <c r="B128" s="83"/>
      <c r="C128" s="83"/>
      <c r="D128" s="83"/>
      <c r="E128" s="83"/>
      <c r="F128" s="83"/>
      <c r="G128" s="83"/>
      <c r="H128" s="83"/>
      <c r="I128" s="155"/>
      <c r="J128" s="82"/>
      <c r="K128" s="58"/>
      <c r="L128" s="58"/>
      <c r="M128" s="58"/>
      <c r="N128" s="58"/>
      <c r="O128" s="58"/>
      <c r="P128" s="58"/>
      <c r="Q128" s="58"/>
      <c r="R128" s="58"/>
      <c r="S128" s="58"/>
      <c r="T128" s="58"/>
      <c r="U128" s="58"/>
      <c r="V128" s="58"/>
      <c r="W128" s="58"/>
      <c r="X128" s="58"/>
      <c r="Y128" s="58"/>
      <c r="Z128" s="58"/>
      <c r="AA128" s="113">
        <v>136</v>
      </c>
      <c r="AB128" s="114" t="s">
        <v>428</v>
      </c>
      <c r="AC128" s="115">
        <v>144139778.38999996</v>
      </c>
      <c r="AD128" s="115">
        <v>3592.3134</v>
      </c>
      <c r="AE128" s="115">
        <v>20860907.26</v>
      </c>
      <c r="AF128" s="115">
        <v>519.9045</v>
      </c>
      <c r="AG128" s="115">
        <v>138968750.45999956</v>
      </c>
      <c r="AH128" s="115">
        <v>3463.4388</v>
      </c>
      <c r="AI128" s="115">
        <v>338614209.2599995</v>
      </c>
      <c r="AJ128" s="115">
        <v>8439.0886</v>
      </c>
      <c r="AK128" s="164">
        <f>VLOOKUP(AA128,'FY 2005 TABLE 15'!$A$11:$M$148,6,FALSE)-AC128</f>
        <v>0</v>
      </c>
      <c r="AL128" s="164">
        <f>VLOOKUP(AA128,'FY 2005 TABLE 15'!$A$11:$M$148,7,FALSE)-AD128</f>
        <v>-1.565876300446689E-05</v>
      </c>
      <c r="AM128" s="164">
        <f>VLOOKUP(AA128,'FY 2005 TABLE 15'!$A$11:$M$148,10,FALSE)-AE128</f>
        <v>0</v>
      </c>
      <c r="AN128" s="164">
        <f>VLOOKUP(AA128,'FY 2005 TABLE 15'!$A$11:$M$148,11,FALSE)-AF128</f>
        <v>-2.1190295115047775E-05</v>
      </c>
      <c r="AO128" s="164">
        <f>VLOOKUP(AA128,'FY 2005 TABLE 15'!$A$11:$M$148,4,FALSE)-AG128</f>
        <v>0</v>
      </c>
      <c r="AP128" s="164">
        <f>VLOOKUP(AA128,'FY 2005 TABLE 15'!$A$11:$M$148,5,FALSE)-AH128</f>
        <v>8.20943796497886E-06</v>
      </c>
      <c r="AQ128" s="164">
        <f>VLOOKUP(AA128,'FY 2005 TABLE 15'!$A$11:$M$148,12,FALSE)-AI128</f>
        <v>0</v>
      </c>
      <c r="AR128" s="165">
        <f>VLOOKUP(AA128,'FY 2005 TABLE 15'!$A$11:$M$148,13,FALSE)-AJ128</f>
        <v>-3.166894202877302E-05</v>
      </c>
    </row>
    <row r="129" spans="1:44" ht="15">
      <c r="A129" s="83"/>
      <c r="B129" s="83"/>
      <c r="C129" s="83"/>
      <c r="D129" s="83"/>
      <c r="E129" s="83"/>
      <c r="F129" s="83"/>
      <c r="G129" s="83"/>
      <c r="H129" s="83"/>
      <c r="I129" s="155"/>
      <c r="J129" s="82"/>
      <c r="K129" s="58"/>
      <c r="L129" s="58"/>
      <c r="M129" s="58"/>
      <c r="N129" s="58"/>
      <c r="O129" s="58"/>
      <c r="P129" s="58"/>
      <c r="Q129" s="58"/>
      <c r="R129" s="58"/>
      <c r="S129" s="58"/>
      <c r="T129" s="58"/>
      <c r="U129" s="58"/>
      <c r="V129" s="58"/>
      <c r="W129" s="58"/>
      <c r="X129" s="58"/>
      <c r="Y129" s="58"/>
      <c r="Z129" s="58"/>
      <c r="AA129" s="113">
        <v>137</v>
      </c>
      <c r="AB129" s="114" t="s">
        <v>429</v>
      </c>
      <c r="AC129" s="115">
        <v>2538867.43</v>
      </c>
      <c r="AD129" s="115">
        <v>3888.6603</v>
      </c>
      <c r="AE129" s="115">
        <v>272397.44</v>
      </c>
      <c r="AF129" s="115">
        <v>417.218</v>
      </c>
      <c r="AG129" s="115">
        <v>1996609.65</v>
      </c>
      <c r="AH129" s="115">
        <v>3058.1103</v>
      </c>
      <c r="AI129" s="115">
        <v>5205062.5</v>
      </c>
      <c r="AJ129" s="115">
        <v>7972.3422</v>
      </c>
      <c r="AK129" s="164">
        <f>VLOOKUP(AA129,'FY 2005 TABLE 15'!$A$11:$M$148,6,FALSE)-AC129</f>
        <v>0</v>
      </c>
      <c r="AL129" s="164">
        <f>VLOOKUP(AA129,'FY 2005 TABLE 15'!$A$11:$M$148,7,FALSE)-AD129</f>
        <v>1.031261035677744E-05</v>
      </c>
      <c r="AM129" s="164">
        <f>VLOOKUP(AA129,'FY 2005 TABLE 15'!$A$11:$M$148,10,FALSE)-AE129</f>
        <v>0</v>
      </c>
      <c r="AN129" s="164">
        <f>VLOOKUP(AA129,'FY 2005 TABLE 15'!$A$11:$M$148,11,FALSE)-AF129</f>
        <v>-3.066366463144732E-05</v>
      </c>
      <c r="AO129" s="164">
        <f>VLOOKUP(AA129,'FY 2005 TABLE 15'!$A$11:$M$148,4,FALSE)-AG129</f>
        <v>0</v>
      </c>
      <c r="AP129" s="164">
        <f>VLOOKUP(AA129,'FY 2005 TABLE 15'!$A$11:$M$148,5,FALSE)-AH129</f>
        <v>2.4863300041033654E-05</v>
      </c>
      <c r="AQ129" s="164">
        <f>VLOOKUP(AA129,'FY 2005 TABLE 15'!$A$11:$M$148,12,FALSE)-AI129</f>
        <v>0</v>
      </c>
      <c r="AR129" s="165">
        <f>VLOOKUP(AA129,'FY 2005 TABLE 15'!$A$11:$M$148,13,FALSE)-AJ129</f>
        <v>1.5959813026711345E-06</v>
      </c>
    </row>
    <row r="130" spans="1:44" ht="15">
      <c r="A130" s="83"/>
      <c r="B130" s="83"/>
      <c r="C130" s="83"/>
      <c r="D130" s="83"/>
      <c r="E130" s="83"/>
      <c r="F130" s="83"/>
      <c r="G130" s="83"/>
      <c r="H130" s="83"/>
      <c r="I130" s="155"/>
      <c r="J130" s="82"/>
      <c r="K130" s="58"/>
      <c r="L130" s="58"/>
      <c r="M130" s="58"/>
      <c r="N130" s="58"/>
      <c r="O130" s="58"/>
      <c r="P130" s="58"/>
      <c r="Q130" s="58"/>
      <c r="R130" s="58"/>
      <c r="S130" s="58"/>
      <c r="T130" s="58"/>
      <c r="U130" s="58"/>
      <c r="V130" s="58"/>
      <c r="W130" s="58"/>
      <c r="X130" s="58"/>
      <c r="Y130" s="58"/>
      <c r="Z130" s="58"/>
      <c r="AA130" s="113">
        <v>138</v>
      </c>
      <c r="AB130" s="114" t="s">
        <v>430</v>
      </c>
      <c r="AC130" s="115">
        <v>4018731.81</v>
      </c>
      <c r="AD130" s="115">
        <v>4299.3964</v>
      </c>
      <c r="AE130" s="115">
        <v>684607</v>
      </c>
      <c r="AF130" s="115">
        <v>732.4193</v>
      </c>
      <c r="AG130" s="115">
        <v>2550588</v>
      </c>
      <c r="AH130" s="115">
        <v>2728.7188</v>
      </c>
      <c r="AI130" s="115">
        <v>8064245.73</v>
      </c>
      <c r="AJ130" s="115">
        <v>8627.4454</v>
      </c>
      <c r="AK130" s="164">
        <f>VLOOKUP(AA130,'FY 2005 TABLE 15'!$A$11:$M$148,6,FALSE)-AC130</f>
        <v>0</v>
      </c>
      <c r="AL130" s="164">
        <f>VLOOKUP(AA130,'FY 2005 TABLE 15'!$A$11:$M$148,7,FALSE)-AD130</f>
        <v>7.480315616703592E-06</v>
      </c>
      <c r="AM130" s="164">
        <f>VLOOKUP(AA130,'FY 2005 TABLE 15'!$A$11:$M$148,10,FALSE)-AE130</f>
        <v>0</v>
      </c>
      <c r="AN130" s="164">
        <f>VLOOKUP(AA130,'FY 2005 TABLE 15'!$A$11:$M$148,11,FALSE)-AF130</f>
        <v>3.413214653846808E-05</v>
      </c>
      <c r="AO130" s="164">
        <f>VLOOKUP(AA130,'FY 2005 TABLE 15'!$A$11:$M$148,4,FALSE)-AG130</f>
        <v>0</v>
      </c>
      <c r="AP130" s="164">
        <f>VLOOKUP(AA130,'FY 2005 TABLE 15'!$A$11:$M$148,5,FALSE)-AH130</f>
        <v>-3.9301608921959996E-05</v>
      </c>
      <c r="AQ130" s="164">
        <f>VLOOKUP(AA130,'FY 2005 TABLE 15'!$A$11:$M$148,12,FALSE)-AI130</f>
        <v>0</v>
      </c>
      <c r="AR130" s="165">
        <f>VLOOKUP(AA130,'FY 2005 TABLE 15'!$A$11:$M$148,13,FALSE)-AJ130</f>
        <v>-3.66826425306499E-05</v>
      </c>
    </row>
    <row r="131" spans="1:44" ht="15">
      <c r="A131" s="83"/>
      <c r="B131" s="83"/>
      <c r="C131" s="83"/>
      <c r="D131" s="83"/>
      <c r="E131" s="83"/>
      <c r="F131" s="83"/>
      <c r="G131" s="83"/>
      <c r="H131" s="83"/>
      <c r="I131" s="155"/>
      <c r="J131" s="82"/>
      <c r="K131" s="58"/>
      <c r="L131" s="58"/>
      <c r="M131" s="58"/>
      <c r="N131" s="58"/>
      <c r="O131" s="58"/>
      <c r="P131" s="58"/>
      <c r="Q131" s="58"/>
      <c r="R131" s="58"/>
      <c r="S131" s="58"/>
      <c r="T131" s="58"/>
      <c r="U131" s="58"/>
      <c r="V131" s="58"/>
      <c r="W131" s="58"/>
      <c r="X131" s="58"/>
      <c r="Y131" s="58"/>
      <c r="Z131" s="58"/>
      <c r="AA131" s="113">
        <v>139</v>
      </c>
      <c r="AB131" s="114" t="s">
        <v>431</v>
      </c>
      <c r="AC131" s="115">
        <v>11994993.02</v>
      </c>
      <c r="AD131" s="115">
        <v>3061.3764</v>
      </c>
      <c r="AE131" s="115">
        <v>1705739.12</v>
      </c>
      <c r="AF131" s="115">
        <v>435.3408</v>
      </c>
      <c r="AG131" s="115">
        <v>15957046.2</v>
      </c>
      <c r="AH131" s="115">
        <v>4072.5763</v>
      </c>
      <c r="AI131" s="115">
        <v>32858850</v>
      </c>
      <c r="AJ131" s="115">
        <v>8386.2747</v>
      </c>
      <c r="AK131" s="164">
        <f>VLOOKUP(AA131,'FY 2005 TABLE 15'!$A$11:$M$148,6,FALSE)-AC131</f>
        <v>0</v>
      </c>
      <c r="AL131" s="164">
        <f>VLOOKUP(AA131,'FY 2005 TABLE 15'!$A$11:$M$148,7,FALSE)-AD131</f>
        <v>-3.807593884630478E-05</v>
      </c>
      <c r="AM131" s="164">
        <f>VLOOKUP(AA131,'FY 2005 TABLE 15'!$A$11:$M$148,10,FALSE)-AE131</f>
        <v>0</v>
      </c>
      <c r="AN131" s="164">
        <f>VLOOKUP(AA131,'FY 2005 TABLE 15'!$A$11:$M$148,11,FALSE)-AF131</f>
        <v>-3.6327162888483144E-05</v>
      </c>
      <c r="AO131" s="164">
        <f>VLOOKUP(AA131,'FY 2005 TABLE 15'!$A$11:$M$148,4,FALSE)-AG131</f>
        <v>0</v>
      </c>
      <c r="AP131" s="164">
        <f>VLOOKUP(AA131,'FY 2005 TABLE 15'!$A$11:$M$148,5,FALSE)-AH131</f>
        <v>-2.0767603473359486E-05</v>
      </c>
      <c r="AQ131" s="164">
        <f>VLOOKUP(AA131,'FY 2005 TABLE 15'!$A$11:$M$148,12,FALSE)-AI131</f>
        <v>0</v>
      </c>
      <c r="AR131" s="165">
        <f>VLOOKUP(AA131,'FY 2005 TABLE 15'!$A$11:$M$148,13,FALSE)-AJ131</f>
        <v>1.498173878644593E-05</v>
      </c>
    </row>
    <row r="132" spans="1:44" ht="15">
      <c r="A132" s="83"/>
      <c r="B132" s="83"/>
      <c r="C132" s="83"/>
      <c r="D132" s="83"/>
      <c r="E132" s="83"/>
      <c r="F132" s="83"/>
      <c r="G132" s="83"/>
      <c r="H132" s="83"/>
      <c r="I132" s="155"/>
      <c r="J132" s="82"/>
      <c r="K132" s="58"/>
      <c r="L132" s="58"/>
      <c r="M132" s="58"/>
      <c r="N132" s="58"/>
      <c r="O132" s="58"/>
      <c r="P132" s="58"/>
      <c r="Q132" s="58"/>
      <c r="R132" s="58"/>
      <c r="S132" s="58"/>
      <c r="T132" s="58"/>
      <c r="U132" s="58"/>
      <c r="V132" s="58"/>
      <c r="W132" s="58"/>
      <c r="X132" s="58"/>
      <c r="Y132" s="58"/>
      <c r="Z132" s="58"/>
      <c r="AA132" s="113">
        <v>140</v>
      </c>
      <c r="AB132" s="114" t="s">
        <v>432</v>
      </c>
      <c r="AC132" s="115">
        <v>3412537.22</v>
      </c>
      <c r="AD132" s="115">
        <v>3752.35</v>
      </c>
      <c r="AE132" s="115">
        <v>244515</v>
      </c>
      <c r="AF132" s="115">
        <v>268.8633</v>
      </c>
      <c r="AG132" s="115">
        <v>1635391.88</v>
      </c>
      <c r="AH132" s="115">
        <v>1798.2405</v>
      </c>
      <c r="AI132" s="115">
        <v>6066718</v>
      </c>
      <c r="AJ132" s="115">
        <v>6670.8282</v>
      </c>
      <c r="AK132" s="164">
        <f>VLOOKUP(AA132,'FY 2005 TABLE 15'!$A$11:$M$148,6,FALSE)-AC132</f>
        <v>0</v>
      </c>
      <c r="AL132" s="164">
        <f>VLOOKUP(AA132,'FY 2005 TABLE 15'!$A$11:$M$148,7,FALSE)-AD132</f>
        <v>3.9584799651493086E-05</v>
      </c>
      <c r="AM132" s="164">
        <f>VLOOKUP(AA132,'FY 2005 TABLE 15'!$A$11:$M$148,10,FALSE)-AE132</f>
        <v>0</v>
      </c>
      <c r="AN132" s="164">
        <f>VLOOKUP(AA132,'FY 2005 TABLE 15'!$A$11:$M$148,11,FALSE)-AF132</f>
        <v>-4.349049964957885E-05</v>
      </c>
      <c r="AO132" s="164">
        <f>VLOOKUP(AA132,'FY 2005 TABLE 15'!$A$11:$M$148,4,FALSE)-AG132</f>
        <v>0</v>
      </c>
      <c r="AP132" s="164">
        <f>VLOOKUP(AA132,'FY 2005 TABLE 15'!$A$11:$M$148,5,FALSE)-AH132</f>
        <v>4.3631244807329495E-05</v>
      </c>
      <c r="AQ132" s="164">
        <f>VLOOKUP(AA132,'FY 2005 TABLE 15'!$A$11:$M$148,12,FALSE)-AI132</f>
        <v>0</v>
      </c>
      <c r="AR132" s="165">
        <f>VLOOKUP(AA132,'FY 2005 TABLE 15'!$A$11:$M$148,13,FALSE)-AJ132</f>
        <v>1.9704430087585934E-06</v>
      </c>
    </row>
    <row r="133" spans="1:44" ht="15">
      <c r="A133" s="83"/>
      <c r="B133" s="83"/>
      <c r="C133" s="83"/>
      <c r="D133" s="83"/>
      <c r="E133" s="83"/>
      <c r="F133" s="83"/>
      <c r="G133" s="83"/>
      <c r="H133" s="83"/>
      <c r="I133" s="155"/>
      <c r="J133" s="82"/>
      <c r="K133" s="58"/>
      <c r="L133" s="58"/>
      <c r="M133" s="58"/>
      <c r="N133" s="58"/>
      <c r="O133" s="58"/>
      <c r="P133" s="58"/>
      <c r="Q133" s="58"/>
      <c r="R133" s="58"/>
      <c r="S133" s="58"/>
      <c r="T133" s="58"/>
      <c r="U133" s="58"/>
      <c r="V133" s="58"/>
      <c r="W133" s="58"/>
      <c r="X133" s="58"/>
      <c r="Y133" s="58"/>
      <c r="Z133" s="58"/>
      <c r="AA133" s="113">
        <v>142</v>
      </c>
      <c r="AB133" s="114" t="s">
        <v>433</v>
      </c>
      <c r="AC133" s="115">
        <v>8803423.56</v>
      </c>
      <c r="AD133" s="115">
        <v>3427.684</v>
      </c>
      <c r="AE133" s="115">
        <v>808903.69</v>
      </c>
      <c r="AF133" s="115">
        <v>314.9532</v>
      </c>
      <c r="AG133" s="115">
        <v>7054193.190000019</v>
      </c>
      <c r="AH133" s="115">
        <v>2746.607</v>
      </c>
      <c r="AI133" s="115">
        <v>18554722.96000002</v>
      </c>
      <c r="AJ133" s="115">
        <v>7224.431</v>
      </c>
      <c r="AK133" s="164">
        <f>VLOOKUP(AA133,'FY 2005 TABLE 15'!$A$11:$M$148,6,FALSE)-AC133</f>
        <v>0</v>
      </c>
      <c r="AL133" s="164">
        <f>VLOOKUP(AA133,'FY 2005 TABLE 15'!$A$11:$M$148,7,FALSE)-AD133</f>
        <v>-3.415448918531183E-05</v>
      </c>
      <c r="AM133" s="164">
        <f>VLOOKUP(AA133,'FY 2005 TABLE 15'!$A$11:$M$148,10,FALSE)-AE133</f>
        <v>0</v>
      </c>
      <c r="AN133" s="164">
        <f>VLOOKUP(AA133,'FY 2005 TABLE 15'!$A$11:$M$148,11,FALSE)-AF133</f>
        <v>-2.4200939890306472E-05</v>
      </c>
      <c r="AO133" s="164">
        <f>VLOOKUP(AA133,'FY 2005 TABLE 15'!$A$11:$M$148,4,FALSE)-AG133</f>
        <v>0</v>
      </c>
      <c r="AP133" s="164">
        <f>VLOOKUP(AA133,'FY 2005 TABLE 15'!$A$11:$M$148,5,FALSE)-AH133</f>
        <v>1.3117480193614028E-05</v>
      </c>
      <c r="AQ133" s="164">
        <f>VLOOKUP(AA133,'FY 2005 TABLE 15'!$A$11:$M$148,12,FALSE)-AI133</f>
        <v>0</v>
      </c>
      <c r="AR133" s="165">
        <f>VLOOKUP(AA133,'FY 2005 TABLE 15'!$A$11:$M$148,13,FALSE)-AJ133</f>
        <v>3.495268174447119E-05</v>
      </c>
    </row>
    <row r="134" spans="1:44" ht="15">
      <c r="A134" s="83"/>
      <c r="B134" s="83"/>
      <c r="C134" s="83"/>
      <c r="D134" s="83"/>
      <c r="E134" s="83"/>
      <c r="F134" s="83"/>
      <c r="G134" s="83"/>
      <c r="H134" s="83"/>
      <c r="I134" s="155"/>
      <c r="J134" s="82"/>
      <c r="K134" s="58"/>
      <c r="L134" s="58"/>
      <c r="M134" s="58"/>
      <c r="N134" s="58"/>
      <c r="O134" s="58"/>
      <c r="P134" s="58"/>
      <c r="Q134" s="58"/>
      <c r="R134" s="58"/>
      <c r="S134" s="58"/>
      <c r="T134" s="58"/>
      <c r="U134" s="58"/>
      <c r="V134" s="58"/>
      <c r="W134" s="58"/>
      <c r="X134" s="58"/>
      <c r="Y134" s="58"/>
      <c r="Z134" s="58"/>
      <c r="AA134" s="113">
        <v>143</v>
      </c>
      <c r="AB134" s="114" t="s">
        <v>434</v>
      </c>
      <c r="AC134" s="115">
        <v>22456729.130000003</v>
      </c>
      <c r="AD134" s="115">
        <v>3396.5547</v>
      </c>
      <c r="AE134" s="115">
        <v>2390285.03</v>
      </c>
      <c r="AF134" s="115">
        <v>361.5279</v>
      </c>
      <c r="AG134" s="115">
        <v>37358997.289999954</v>
      </c>
      <c r="AH134" s="115">
        <v>5650.5058</v>
      </c>
      <c r="AI134" s="115">
        <v>67921913.80999996</v>
      </c>
      <c r="AJ134" s="115">
        <v>10273.1122</v>
      </c>
      <c r="AK134" s="164">
        <f>VLOOKUP(AA134,'FY 2005 TABLE 15'!$A$11:$M$148,6,FALSE)-AC134</f>
        <v>0</v>
      </c>
      <c r="AL134" s="164">
        <f>VLOOKUP(AA134,'FY 2005 TABLE 15'!$A$11:$M$148,7,FALSE)-AD134</f>
        <v>2.1838218344782945E-05</v>
      </c>
      <c r="AM134" s="164">
        <f>VLOOKUP(AA134,'FY 2005 TABLE 15'!$A$11:$M$148,10,FALSE)-AE134</f>
        <v>0</v>
      </c>
      <c r="AN134" s="164">
        <f>VLOOKUP(AA134,'FY 2005 TABLE 15'!$A$11:$M$148,11,FALSE)-AF134</f>
        <v>-9.709874461805157E-06</v>
      </c>
      <c r="AO134" s="164">
        <f>VLOOKUP(AA134,'FY 2005 TABLE 15'!$A$11:$M$148,4,FALSE)-AG134</f>
        <v>0</v>
      </c>
      <c r="AP134" s="164">
        <f>VLOOKUP(AA134,'FY 2005 TABLE 15'!$A$11:$M$148,5,FALSE)-AH134</f>
        <v>2.0056197172380053E-05</v>
      </c>
      <c r="AQ134" s="164">
        <f>VLOOKUP(AA134,'FY 2005 TABLE 15'!$A$11:$M$148,12,FALSE)-AI134</f>
        <v>0</v>
      </c>
      <c r="AR134" s="165">
        <f>VLOOKUP(AA134,'FY 2005 TABLE 15'!$A$11:$M$148,13,FALSE)-AJ134</f>
        <v>-4.1406499803997576E-05</v>
      </c>
    </row>
    <row r="135" spans="1:44" ht="15">
      <c r="A135" s="83"/>
      <c r="B135" s="83"/>
      <c r="C135" s="83"/>
      <c r="D135" s="83"/>
      <c r="E135" s="83"/>
      <c r="F135" s="83"/>
      <c r="G135" s="83"/>
      <c r="H135" s="83"/>
      <c r="I135" s="155"/>
      <c r="J135" s="82"/>
      <c r="K135" s="58"/>
      <c r="L135" s="58"/>
      <c r="M135" s="58"/>
      <c r="N135" s="58"/>
      <c r="O135" s="58"/>
      <c r="P135" s="58"/>
      <c r="Q135" s="58"/>
      <c r="R135" s="58"/>
      <c r="S135" s="58"/>
      <c r="T135" s="58"/>
      <c r="U135" s="58"/>
      <c r="V135" s="58"/>
      <c r="W135" s="58"/>
      <c r="X135" s="58"/>
      <c r="Y135" s="58"/>
      <c r="Z135" s="58"/>
      <c r="AA135" s="113">
        <v>144</v>
      </c>
      <c r="AB135" s="114" t="s">
        <v>435</v>
      </c>
      <c r="AC135" s="115">
        <v>9106036.370000001</v>
      </c>
      <c r="AD135" s="115">
        <v>3910.2007</v>
      </c>
      <c r="AE135" s="115">
        <v>1028482.88</v>
      </c>
      <c r="AF135" s="115">
        <v>441.6383</v>
      </c>
      <c r="AG135" s="115">
        <v>11036882.309999984</v>
      </c>
      <c r="AH135" s="115">
        <v>4739.3206</v>
      </c>
      <c r="AI135" s="115">
        <v>22909736.559999984</v>
      </c>
      <c r="AJ135" s="115">
        <v>9837.6138</v>
      </c>
      <c r="AK135" s="164">
        <f>VLOOKUP(AA135,'FY 2005 TABLE 15'!$A$11:$M$148,6,FALSE)-AC135</f>
        <v>0</v>
      </c>
      <c r="AL135" s="164">
        <f>VLOOKUP(AA135,'FY 2005 TABLE 15'!$A$11:$M$148,7,FALSE)-AD135</f>
        <v>3.514572017593309E-05</v>
      </c>
      <c r="AM135" s="164">
        <f>VLOOKUP(AA135,'FY 2005 TABLE 15'!$A$11:$M$148,10,FALSE)-AE135</f>
        <v>0</v>
      </c>
      <c r="AN135" s="164">
        <f>VLOOKUP(AA135,'FY 2005 TABLE 15'!$A$11:$M$148,11,FALSE)-AF135</f>
        <v>1.0023660365732212E-05</v>
      </c>
      <c r="AO135" s="164">
        <f>VLOOKUP(AA135,'FY 2005 TABLE 15'!$A$11:$M$148,4,FALSE)-AG135</f>
        <v>0</v>
      </c>
      <c r="AP135" s="164">
        <f>VLOOKUP(AA135,'FY 2005 TABLE 15'!$A$11:$M$148,5,FALSE)-AH135</f>
        <v>-4.726661336462712E-05</v>
      </c>
      <c r="AQ135" s="164">
        <f>VLOOKUP(AA135,'FY 2005 TABLE 15'!$A$11:$M$148,12,FALSE)-AI135</f>
        <v>0</v>
      </c>
      <c r="AR135" s="165">
        <f>VLOOKUP(AA135,'FY 2005 TABLE 15'!$A$11:$M$148,13,FALSE)-AJ135</f>
        <v>-3.49116980942199E-05</v>
      </c>
    </row>
    <row r="136" spans="1:44" ht="15">
      <c r="A136" s="83"/>
      <c r="B136" s="83"/>
      <c r="C136" s="83"/>
      <c r="D136" s="83"/>
      <c r="E136" s="83"/>
      <c r="F136" s="83"/>
      <c r="G136" s="83"/>
      <c r="H136" s="83"/>
      <c r="I136" s="155"/>
      <c r="J136" s="82"/>
      <c r="K136" s="58"/>
      <c r="L136" s="58"/>
      <c r="M136" s="58"/>
      <c r="N136" s="58"/>
      <c r="O136" s="58"/>
      <c r="P136" s="58"/>
      <c r="Q136" s="58"/>
      <c r="R136" s="58"/>
      <c r="S136" s="58"/>
      <c r="T136" s="58"/>
      <c r="U136" s="58"/>
      <c r="V136" s="58"/>
      <c r="W136" s="58"/>
      <c r="X136" s="58"/>
      <c r="Y136" s="58"/>
      <c r="Z136" s="58"/>
      <c r="AA136" s="113">
        <v>202</v>
      </c>
      <c r="AB136" s="114" t="s">
        <v>436</v>
      </c>
      <c r="AC136" s="115">
        <v>2720231.71</v>
      </c>
      <c r="AD136" s="115">
        <v>4763.895</v>
      </c>
      <c r="AE136" s="115">
        <v>918581.99</v>
      </c>
      <c r="AF136" s="115">
        <v>1608.6969</v>
      </c>
      <c r="AG136" s="115">
        <v>1529983.71</v>
      </c>
      <c r="AH136" s="115">
        <v>2679.4342</v>
      </c>
      <c r="AI136" s="115">
        <v>5563212.129999995</v>
      </c>
      <c r="AJ136" s="115">
        <v>9742.7578</v>
      </c>
      <c r="AK136" s="164">
        <f>VLOOKUP(AA136,'FY 2005 TABLE 15'!$A$11:$M$148,6,FALSE)-AC136</f>
        <v>0</v>
      </c>
      <c r="AL136" s="164">
        <f>VLOOKUP(AA136,'FY 2005 TABLE 15'!$A$11:$M$148,7,FALSE)-AD136</f>
        <v>4.562091726256767E-05</v>
      </c>
      <c r="AM136" s="164">
        <f>VLOOKUP(AA136,'FY 2005 TABLE 15'!$A$11:$M$148,10,FALSE)-AE136</f>
        <v>0</v>
      </c>
      <c r="AN136" s="164">
        <f>VLOOKUP(AA136,'FY 2005 TABLE 15'!$A$11:$M$148,11,FALSE)-AF136</f>
        <v>-4.705521791947831E-05</v>
      </c>
      <c r="AO136" s="164">
        <f>VLOOKUP(AA136,'FY 2005 TABLE 15'!$A$11:$M$148,4,FALSE)-AG136</f>
        <v>-4.6566128730773926E-09</v>
      </c>
      <c r="AP136" s="164">
        <f>VLOOKUP(AA136,'FY 2005 TABLE 15'!$A$11:$M$148,5,FALSE)-AH136</f>
        <v>-2.1964597181067802E-05</v>
      </c>
      <c r="AQ136" s="164">
        <f>VLOOKUP(AA136,'FY 2005 TABLE 15'!$A$11:$M$148,12,FALSE)-AI136</f>
        <v>0</v>
      </c>
      <c r="AR136" s="165">
        <f>VLOOKUP(AA136,'FY 2005 TABLE 15'!$A$11:$M$148,13,FALSE)-AJ136</f>
        <v>-2.4132750695571303E-06</v>
      </c>
    </row>
    <row r="137" spans="1:44" ht="15.75" thickBot="1">
      <c r="A137" s="83"/>
      <c r="B137" s="83"/>
      <c r="C137" s="83"/>
      <c r="D137" s="83"/>
      <c r="E137" s="83"/>
      <c r="F137" s="83"/>
      <c r="G137" s="83"/>
      <c r="H137" s="83"/>
      <c r="I137" s="155"/>
      <c r="J137" s="82"/>
      <c r="K137" s="58"/>
      <c r="L137" s="58"/>
      <c r="M137" s="58"/>
      <c r="N137" s="58"/>
      <c r="O137" s="58"/>
      <c r="P137" s="58"/>
      <c r="Q137" s="58"/>
      <c r="R137" s="58"/>
      <c r="S137" s="58"/>
      <c r="T137" s="58"/>
      <c r="U137" s="58"/>
      <c r="V137" s="58"/>
      <c r="W137" s="58"/>
      <c r="X137" s="58"/>
      <c r="Y137" s="58"/>
      <c r="Z137" s="58"/>
      <c r="AA137" s="124">
        <v>207</v>
      </c>
      <c r="AB137" s="125" t="s">
        <v>437</v>
      </c>
      <c r="AC137" s="126">
        <v>3426748.55</v>
      </c>
      <c r="AD137" s="126">
        <v>4300.7462</v>
      </c>
      <c r="AE137" s="126">
        <v>316806.8</v>
      </c>
      <c r="AF137" s="126">
        <v>397.6089</v>
      </c>
      <c r="AG137" s="126">
        <v>3331398.1</v>
      </c>
      <c r="AH137" s="126">
        <v>4181.0765</v>
      </c>
      <c r="AI137" s="126">
        <v>7564333.610000002</v>
      </c>
      <c r="AJ137" s="126">
        <v>9493.6289</v>
      </c>
      <c r="AK137" s="166">
        <f>VLOOKUP(AA137,'FY 2005 TABLE 15'!$A$11:$M$148,6,FALSE)-AC137</f>
        <v>0</v>
      </c>
      <c r="AL137" s="166">
        <f>VLOOKUP(AA137,'FY 2005 TABLE 15'!$A$11:$M$148,7,FALSE)-AD137</f>
        <v>-9.081552889256272E-06</v>
      </c>
      <c r="AM137" s="166">
        <f>VLOOKUP(AA137,'FY 2005 TABLE 15'!$A$11:$M$148,10,FALSE)-AE137</f>
        <v>0</v>
      </c>
      <c r="AN137" s="166">
        <f>VLOOKUP(AA137,'FY 2005 TABLE 15'!$A$11:$M$148,11,FALSE)-AF137</f>
        <v>-2.427520769288094E-05</v>
      </c>
      <c r="AO137" s="166">
        <f>VLOOKUP(AA137,'FY 2005 TABLE 15'!$A$11:$M$148,4,FALSE)-AG137</f>
        <v>0</v>
      </c>
      <c r="AP137" s="166">
        <f>VLOOKUP(AA137,'FY 2005 TABLE 15'!$A$11:$M$148,5,FALSE)-AH137</f>
        <v>-4.225758402753854E-05</v>
      </c>
      <c r="AQ137" s="166">
        <f>VLOOKUP(AA137,'FY 2005 TABLE 15'!$A$11:$M$148,12,FALSE)-AI137</f>
        <v>0</v>
      </c>
      <c r="AR137" s="167">
        <f>VLOOKUP(AA137,'FY 2005 TABLE 15'!$A$11:$M$148,13,FALSE)-AJ137</f>
        <v>-3.1303492505685426E-05</v>
      </c>
    </row>
    <row r="138" spans="1:44" ht="15">
      <c r="A138" s="83"/>
      <c r="B138" s="83"/>
      <c r="C138" s="83"/>
      <c r="D138" s="83"/>
      <c r="E138" s="83"/>
      <c r="F138" s="83"/>
      <c r="G138" s="83"/>
      <c r="H138" s="83"/>
      <c r="I138" s="155"/>
      <c r="J138" s="82"/>
      <c r="K138" s="58"/>
      <c r="L138" s="58"/>
      <c r="M138" s="58"/>
      <c r="N138" s="58"/>
      <c r="O138" s="58"/>
      <c r="P138" s="58"/>
      <c r="Q138" s="58"/>
      <c r="R138" s="58"/>
      <c r="S138" s="58"/>
      <c r="T138" s="58"/>
      <c r="U138" s="58"/>
      <c r="V138" s="58"/>
      <c r="W138" s="58"/>
      <c r="X138" s="58"/>
      <c r="Y138" s="58"/>
      <c r="Z138" s="58"/>
      <c r="AA138" s="58"/>
      <c r="AB138" s="58"/>
      <c r="AC138" s="58" t="e">
        <v>#N/A</v>
      </c>
      <c r="AD138" s="58" t="e">
        <v>#N/A</v>
      </c>
      <c r="AE138" s="58" t="e">
        <v>#N/A</v>
      </c>
      <c r="AF138" s="58" t="e">
        <v>#N/A</v>
      </c>
      <c r="AG138" s="58" t="e">
        <v>#N/A</v>
      </c>
      <c r="AH138" s="58" t="e">
        <v>#N/A</v>
      </c>
      <c r="AI138" s="58" t="e">
        <v>#N/A</v>
      </c>
      <c r="AJ138" s="58" t="e">
        <v>#N/A</v>
      </c>
      <c r="AK138" s="58"/>
      <c r="AL138" s="58"/>
      <c r="AM138" s="58"/>
      <c r="AN138" s="58"/>
      <c r="AO138" s="58"/>
      <c r="AP138" s="58"/>
      <c r="AQ138" s="58"/>
      <c r="AR138" s="58"/>
    </row>
    <row r="139" spans="1:44" ht="15">
      <c r="A139" s="83"/>
      <c r="B139" s="83"/>
      <c r="C139" s="83"/>
      <c r="D139" s="83"/>
      <c r="E139" s="83"/>
      <c r="F139" s="83"/>
      <c r="G139" s="83"/>
      <c r="H139" s="83"/>
      <c r="I139" s="155"/>
      <c r="J139" s="82"/>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91"/>
      <c r="AL139" s="91"/>
      <c r="AM139" s="58"/>
      <c r="AN139" s="58"/>
      <c r="AO139" s="91"/>
      <c r="AP139" s="91"/>
      <c r="AQ139" s="91"/>
      <c r="AR139" s="91"/>
    </row>
    <row r="140" spans="1:44" ht="15">
      <c r="A140" s="83"/>
      <c r="B140" s="83"/>
      <c r="C140" s="83"/>
      <c r="D140" s="83"/>
      <c r="E140" s="83"/>
      <c r="F140" s="83"/>
      <c r="G140" s="83"/>
      <c r="H140" s="83"/>
      <c r="I140" s="155"/>
      <c r="J140" s="82"/>
      <c r="K140" s="58"/>
      <c r="L140" s="58"/>
      <c r="M140" s="58"/>
      <c r="N140" s="58"/>
      <c r="O140" s="58"/>
      <c r="P140" s="58"/>
      <c r="Q140" s="58"/>
      <c r="R140" s="58"/>
      <c r="S140" s="58"/>
      <c r="T140" s="58"/>
      <c r="U140" s="58"/>
      <c r="V140" s="58"/>
      <c r="W140" s="58"/>
      <c r="X140" s="58"/>
      <c r="Y140" s="58"/>
      <c r="Z140" s="58"/>
      <c r="AA140" s="127"/>
      <c r="AB140" s="127"/>
      <c r="AC140" s="127"/>
      <c r="AD140" s="127"/>
      <c r="AE140" s="127"/>
      <c r="AF140" s="127"/>
      <c r="AG140" s="127"/>
      <c r="AH140" s="127"/>
      <c r="AI140" s="127"/>
      <c r="AJ140" s="127"/>
      <c r="AK140" s="127"/>
      <c r="AL140" s="127"/>
      <c r="AM140" s="127"/>
      <c r="AN140" s="127"/>
      <c r="AO140" s="127"/>
      <c r="AP140" s="127"/>
      <c r="AQ140" s="127"/>
      <c r="AR140" s="127"/>
    </row>
    <row r="141" spans="1:44" ht="15.75">
      <c r="A141" s="83"/>
      <c r="B141" s="83"/>
      <c r="C141" s="83"/>
      <c r="D141" s="83"/>
      <c r="E141" s="83"/>
      <c r="F141" s="83"/>
      <c r="G141" s="83"/>
      <c r="H141" s="83"/>
      <c r="I141" s="155"/>
      <c r="J141" s="82"/>
      <c r="K141" s="58"/>
      <c r="L141" s="58"/>
      <c r="M141" s="58"/>
      <c r="N141" s="58"/>
      <c r="O141" s="58"/>
      <c r="P141" s="58"/>
      <c r="Q141" s="58"/>
      <c r="R141" s="58"/>
      <c r="S141" s="58"/>
      <c r="T141" s="58"/>
      <c r="U141" s="58"/>
      <c r="V141" s="58"/>
      <c r="W141" s="58"/>
      <c r="X141" s="58"/>
      <c r="Y141" s="58"/>
      <c r="Z141" s="58"/>
      <c r="AA141" s="127"/>
      <c r="AB141" s="127"/>
      <c r="AC141" s="127"/>
      <c r="AD141" s="127"/>
      <c r="AE141" s="127"/>
      <c r="AF141" s="127"/>
      <c r="AG141" s="127"/>
      <c r="AH141" s="127"/>
      <c r="AI141" s="127"/>
      <c r="AJ141" s="127"/>
      <c r="AK141" s="127"/>
      <c r="AL141" s="127"/>
      <c r="AM141" s="127"/>
      <c r="AN141" s="127"/>
      <c r="AO141" s="127"/>
      <c r="AP141" s="127"/>
      <c r="AQ141" s="127"/>
      <c r="AR141" s="128"/>
    </row>
    <row r="142" spans="1:44" ht="15">
      <c r="A142" s="83"/>
      <c r="B142" s="83"/>
      <c r="C142" s="83"/>
      <c r="D142" s="83"/>
      <c r="E142" s="83"/>
      <c r="F142" s="83"/>
      <c r="G142" s="83"/>
      <c r="H142" s="83"/>
      <c r="I142" s="155"/>
      <c r="J142" s="82"/>
      <c r="K142" s="58"/>
      <c r="L142" s="58"/>
      <c r="M142" s="58"/>
      <c r="N142" s="58"/>
      <c r="O142" s="58"/>
      <c r="P142" s="58"/>
      <c r="Q142" s="58"/>
      <c r="R142" s="58"/>
      <c r="S142" s="58"/>
      <c r="T142" s="58"/>
      <c r="U142" s="58"/>
      <c r="V142" s="58"/>
      <c r="W142" s="58"/>
      <c r="X142" s="58"/>
      <c r="Y142" s="58"/>
      <c r="Z142" s="58"/>
      <c r="AA142" s="127"/>
      <c r="AB142" s="127"/>
      <c r="AC142" s="127"/>
      <c r="AD142" s="127"/>
      <c r="AE142" s="127"/>
      <c r="AF142" s="127"/>
      <c r="AG142" s="127"/>
      <c r="AH142" s="127"/>
      <c r="AI142" s="127"/>
      <c r="AJ142" s="127"/>
      <c r="AK142" s="127"/>
      <c r="AL142" s="127"/>
      <c r="AM142" s="127"/>
      <c r="AN142" s="127"/>
      <c r="AO142" s="127"/>
      <c r="AP142" s="127"/>
      <c r="AQ142" s="127"/>
      <c r="AR142" s="127"/>
    </row>
    <row r="143" spans="1:44" ht="15">
      <c r="A143" s="83"/>
      <c r="B143" s="83"/>
      <c r="C143" s="83"/>
      <c r="D143" s="83"/>
      <c r="E143" s="83"/>
      <c r="F143" s="83"/>
      <c r="G143" s="83"/>
      <c r="H143" s="83"/>
      <c r="I143" s="155"/>
      <c r="J143" s="82"/>
      <c r="K143" s="58"/>
      <c r="L143" s="58"/>
      <c r="M143" s="58"/>
      <c r="N143" s="58"/>
      <c r="O143" s="58"/>
      <c r="P143" s="58"/>
      <c r="Q143" s="58"/>
      <c r="R143" s="58"/>
      <c r="S143" s="58"/>
      <c r="T143" s="58"/>
      <c r="U143" s="58"/>
      <c r="V143" s="58"/>
      <c r="W143" s="58"/>
      <c r="X143" s="58"/>
      <c r="Y143" s="58"/>
      <c r="Z143" s="58"/>
      <c r="AA143" s="127"/>
      <c r="AB143" s="127"/>
      <c r="AC143" s="127"/>
      <c r="AD143" s="127"/>
      <c r="AE143" s="127"/>
      <c r="AF143" s="127"/>
      <c r="AG143" s="127"/>
      <c r="AH143" s="127"/>
      <c r="AI143" s="127"/>
      <c r="AJ143" s="127"/>
      <c r="AK143" s="127"/>
      <c r="AL143" s="127"/>
      <c r="AM143" s="127"/>
      <c r="AN143" s="127"/>
      <c r="AO143" s="127"/>
      <c r="AP143" s="127"/>
      <c r="AQ143" s="127"/>
      <c r="AR143" s="127"/>
    </row>
    <row r="144" spans="1:44" ht="15">
      <c r="A144" s="83"/>
      <c r="B144" s="83"/>
      <c r="C144" s="83"/>
      <c r="D144" s="83"/>
      <c r="E144" s="83"/>
      <c r="F144" s="83"/>
      <c r="G144" s="83"/>
      <c r="H144" s="83"/>
      <c r="I144" s="155"/>
      <c r="J144" s="82"/>
      <c r="K144" s="58"/>
      <c r="L144" s="58"/>
      <c r="M144" s="58"/>
      <c r="N144" s="58"/>
      <c r="O144" s="58"/>
      <c r="P144" s="58"/>
      <c r="Q144" s="58"/>
      <c r="R144" s="58"/>
      <c r="S144" s="58"/>
      <c r="T144" s="58"/>
      <c r="U144" s="58"/>
      <c r="V144" s="58"/>
      <c r="W144" s="58"/>
      <c r="X144" s="58"/>
      <c r="Y144" s="58"/>
      <c r="Z144" s="58"/>
      <c r="AA144" s="127"/>
      <c r="AB144" s="127"/>
      <c r="AC144" s="127"/>
      <c r="AD144" s="127"/>
      <c r="AE144" s="127"/>
      <c r="AF144" s="127"/>
      <c r="AG144" s="127"/>
      <c r="AH144" s="127"/>
      <c r="AI144" s="127"/>
      <c r="AJ144" s="127"/>
      <c r="AK144" s="127"/>
      <c r="AL144" s="127"/>
      <c r="AM144" s="127"/>
      <c r="AN144" s="127"/>
      <c r="AO144" s="127"/>
      <c r="AP144" s="127"/>
      <c r="AQ144" s="127"/>
      <c r="AR144" s="127"/>
    </row>
    <row r="145" spans="1:44" ht="15">
      <c r="A145" s="83"/>
      <c r="B145" s="83"/>
      <c r="C145" s="83"/>
      <c r="D145" s="83"/>
      <c r="E145" s="83"/>
      <c r="F145" s="83"/>
      <c r="G145" s="83"/>
      <c r="H145" s="83"/>
      <c r="I145" s="155"/>
      <c r="J145" s="82"/>
      <c r="K145" s="58"/>
      <c r="L145" s="58"/>
      <c r="M145" s="58"/>
      <c r="N145" s="58"/>
      <c r="O145" s="58"/>
      <c r="P145" s="58"/>
      <c r="Q145" s="58"/>
      <c r="R145" s="58"/>
      <c r="S145" s="58"/>
      <c r="T145" s="58"/>
      <c r="U145" s="58"/>
      <c r="V145" s="58"/>
      <c r="W145" s="58"/>
      <c r="X145" s="58"/>
      <c r="Y145" s="58"/>
      <c r="Z145" s="58"/>
      <c r="AA145" s="127"/>
      <c r="AB145" s="127"/>
      <c r="AC145" s="127"/>
      <c r="AD145" s="127"/>
      <c r="AE145" s="127"/>
      <c r="AF145" s="127"/>
      <c r="AG145" s="127"/>
      <c r="AH145" s="127"/>
      <c r="AI145" s="127"/>
      <c r="AJ145" s="127"/>
      <c r="AK145" s="127"/>
      <c r="AL145" s="127"/>
      <c r="AM145" s="127"/>
      <c r="AN145" s="127"/>
      <c r="AO145" s="127"/>
      <c r="AP145" s="127"/>
      <c r="AQ145" s="127"/>
      <c r="AR145" s="127"/>
    </row>
    <row r="146" spans="1:44" ht="15">
      <c r="A146" s="83"/>
      <c r="B146" s="83"/>
      <c r="C146" s="83"/>
      <c r="D146" s="83"/>
      <c r="E146" s="83"/>
      <c r="F146" s="83"/>
      <c r="G146" s="83"/>
      <c r="H146" s="83"/>
      <c r="I146" s="155"/>
      <c r="J146" s="82"/>
      <c r="K146" s="58"/>
      <c r="L146" s="58"/>
      <c r="M146" s="58"/>
      <c r="N146" s="58"/>
      <c r="O146" s="58"/>
      <c r="P146" s="58"/>
      <c r="Q146" s="58"/>
      <c r="R146" s="58"/>
      <c r="S146" s="58"/>
      <c r="T146" s="58"/>
      <c r="U146" s="58"/>
      <c r="V146" s="58"/>
      <c r="W146" s="58"/>
      <c r="X146" s="58"/>
      <c r="Y146" s="58"/>
      <c r="Z146" s="58"/>
      <c r="AA146" s="127"/>
      <c r="AB146" s="127"/>
      <c r="AC146" s="127"/>
      <c r="AD146" s="127"/>
      <c r="AE146" s="127"/>
      <c r="AF146" s="127"/>
      <c r="AG146" s="127"/>
      <c r="AH146" s="127"/>
      <c r="AI146" s="127"/>
      <c r="AJ146" s="127"/>
      <c r="AK146" s="127"/>
      <c r="AL146" s="127"/>
      <c r="AM146" s="127"/>
      <c r="AN146" s="127"/>
      <c r="AO146" s="127"/>
      <c r="AP146" s="127"/>
      <c r="AQ146" s="127"/>
      <c r="AR146" s="127"/>
    </row>
    <row r="147" spans="1:44" ht="15">
      <c r="A147" s="83"/>
      <c r="B147" s="83"/>
      <c r="C147" s="83"/>
      <c r="D147" s="83"/>
      <c r="E147" s="83"/>
      <c r="F147" s="83"/>
      <c r="G147" s="83"/>
      <c r="H147" s="83"/>
      <c r="I147" s="155"/>
      <c r="J147" s="82"/>
      <c r="K147" s="58"/>
      <c r="L147" s="58"/>
      <c r="M147" s="58"/>
      <c r="N147" s="58"/>
      <c r="O147" s="58"/>
      <c r="P147" s="58"/>
      <c r="Q147" s="58"/>
      <c r="R147" s="58"/>
      <c r="S147" s="58"/>
      <c r="T147" s="58"/>
      <c r="U147" s="58"/>
      <c r="V147" s="58"/>
      <c r="W147" s="58"/>
      <c r="X147" s="58"/>
      <c r="Y147" s="58"/>
      <c r="Z147" s="58"/>
      <c r="AA147" s="127"/>
      <c r="AB147" s="127"/>
      <c r="AC147" s="127"/>
      <c r="AD147" s="127"/>
      <c r="AE147" s="127"/>
      <c r="AF147" s="127"/>
      <c r="AG147" s="127"/>
      <c r="AH147" s="127"/>
      <c r="AI147" s="127"/>
      <c r="AJ147" s="127"/>
      <c r="AK147" s="127"/>
      <c r="AL147" s="127"/>
      <c r="AM147" s="127"/>
      <c r="AN147" s="127"/>
      <c r="AO147" s="127"/>
      <c r="AP147" s="127"/>
      <c r="AQ147" s="127"/>
      <c r="AR147" s="127"/>
    </row>
    <row r="148" spans="1:44" ht="15">
      <c r="A148" s="83"/>
      <c r="B148" s="83"/>
      <c r="C148" s="83"/>
      <c r="D148" s="83"/>
      <c r="E148" s="83"/>
      <c r="F148" s="83"/>
      <c r="G148" s="83"/>
      <c r="H148" s="83"/>
      <c r="I148" s="155"/>
      <c r="J148" s="82"/>
      <c r="K148" s="58"/>
      <c r="L148" s="58"/>
      <c r="M148" s="58"/>
      <c r="N148" s="58"/>
      <c r="O148" s="58"/>
      <c r="P148" s="58"/>
      <c r="Q148" s="58"/>
      <c r="R148" s="58"/>
      <c r="S148" s="58"/>
      <c r="T148" s="58"/>
      <c r="U148" s="58"/>
      <c r="V148" s="58"/>
      <c r="W148" s="58"/>
      <c r="X148" s="58"/>
      <c r="Y148" s="58"/>
      <c r="Z148" s="58"/>
      <c r="AA148" s="127"/>
      <c r="AB148" s="127"/>
      <c r="AC148" s="127"/>
      <c r="AD148" s="127"/>
      <c r="AE148" s="127"/>
      <c r="AF148" s="127"/>
      <c r="AG148" s="127"/>
      <c r="AH148" s="127"/>
      <c r="AI148" s="127"/>
      <c r="AJ148" s="127"/>
      <c r="AK148" s="127"/>
      <c r="AL148" s="127"/>
      <c r="AM148" s="127"/>
      <c r="AN148" s="127"/>
      <c r="AO148" s="127"/>
      <c r="AP148" s="127"/>
      <c r="AQ148" s="127"/>
      <c r="AR148" s="127"/>
    </row>
    <row r="149" spans="1:44" ht="15">
      <c r="A149" s="83"/>
      <c r="B149" s="83"/>
      <c r="C149" s="83"/>
      <c r="D149" s="83"/>
      <c r="E149" s="83"/>
      <c r="F149" s="83"/>
      <c r="G149" s="83"/>
      <c r="H149" s="83"/>
      <c r="I149" s="155"/>
      <c r="J149" s="82"/>
      <c r="K149" s="58"/>
      <c r="L149" s="58"/>
      <c r="M149" s="58"/>
      <c r="N149" s="58"/>
      <c r="O149" s="58"/>
      <c r="P149" s="58"/>
      <c r="Q149" s="58"/>
      <c r="R149" s="58"/>
      <c r="S149" s="58"/>
      <c r="T149" s="58"/>
      <c r="U149" s="58"/>
      <c r="V149" s="58"/>
      <c r="W149" s="58"/>
      <c r="X149" s="58"/>
      <c r="Y149" s="58"/>
      <c r="Z149" s="58"/>
      <c r="AA149" s="127"/>
      <c r="AB149" s="127"/>
      <c r="AC149" s="127"/>
      <c r="AD149" s="127"/>
      <c r="AE149" s="127"/>
      <c r="AF149" s="127"/>
      <c r="AG149" s="127"/>
      <c r="AH149" s="127"/>
      <c r="AI149" s="127"/>
      <c r="AJ149" s="127"/>
      <c r="AK149" s="127"/>
      <c r="AL149" s="127"/>
      <c r="AM149" s="127"/>
      <c r="AN149" s="127"/>
      <c r="AO149" s="127"/>
      <c r="AP149" s="127"/>
      <c r="AQ149" s="127"/>
      <c r="AR149" s="127"/>
    </row>
    <row r="150" spans="1:44" ht="15">
      <c r="A150" s="83"/>
      <c r="B150" s="83"/>
      <c r="C150" s="83"/>
      <c r="D150" s="83"/>
      <c r="E150" s="83"/>
      <c r="F150" s="83"/>
      <c r="G150" s="83"/>
      <c r="H150" s="83"/>
      <c r="I150" s="155"/>
      <c r="J150" s="82"/>
      <c r="K150" s="58"/>
      <c r="L150" s="58"/>
      <c r="M150" s="58"/>
      <c r="N150" s="58"/>
      <c r="O150" s="58"/>
      <c r="P150" s="58"/>
      <c r="Q150" s="58"/>
      <c r="R150" s="58"/>
      <c r="S150" s="58"/>
      <c r="T150" s="58"/>
      <c r="U150" s="58"/>
      <c r="V150" s="58"/>
      <c r="W150" s="58"/>
      <c r="X150" s="58"/>
      <c r="Y150" s="58"/>
      <c r="Z150" s="58"/>
      <c r="AA150" s="127"/>
      <c r="AB150" s="127"/>
      <c r="AC150" s="127"/>
      <c r="AD150" s="127"/>
      <c r="AE150" s="127"/>
      <c r="AF150" s="127"/>
      <c r="AG150" s="127"/>
      <c r="AH150" s="127"/>
      <c r="AI150" s="127"/>
      <c r="AJ150" s="127"/>
      <c r="AK150" s="127"/>
      <c r="AL150" s="127"/>
      <c r="AM150" s="127"/>
      <c r="AN150" s="127"/>
      <c r="AO150" s="127"/>
      <c r="AP150" s="127"/>
      <c r="AQ150" s="127"/>
      <c r="AR150" s="127"/>
    </row>
    <row r="151" spans="1:44" ht="15">
      <c r="A151" s="83"/>
      <c r="B151" s="83"/>
      <c r="C151" s="83"/>
      <c r="D151" s="83"/>
      <c r="E151" s="83"/>
      <c r="F151" s="83"/>
      <c r="G151" s="83"/>
      <c r="H151" s="83"/>
      <c r="I151" s="155"/>
      <c r="J151" s="82"/>
      <c r="K151" s="58"/>
      <c r="L151" s="58"/>
      <c r="M151" s="58"/>
      <c r="N151" s="58"/>
      <c r="O151" s="58"/>
      <c r="P151" s="58"/>
      <c r="Q151" s="58"/>
      <c r="R151" s="58"/>
      <c r="S151" s="58"/>
      <c r="T151" s="58"/>
      <c r="U151" s="58"/>
      <c r="V151" s="58"/>
      <c r="W151" s="58"/>
      <c r="X151" s="58"/>
      <c r="Y151" s="58"/>
      <c r="Z151" s="58"/>
      <c r="AA151" s="127"/>
      <c r="AB151" s="127"/>
      <c r="AC151" s="127"/>
      <c r="AD151" s="127"/>
      <c r="AE151" s="127"/>
      <c r="AF151" s="127"/>
      <c r="AG151" s="127"/>
      <c r="AH151" s="127"/>
      <c r="AI151" s="127"/>
      <c r="AJ151" s="127"/>
      <c r="AK151" s="127"/>
      <c r="AL151" s="127"/>
      <c r="AM151" s="127"/>
      <c r="AN151" s="127"/>
      <c r="AO151" s="127"/>
      <c r="AP151" s="127"/>
      <c r="AQ151" s="127"/>
      <c r="AR151" s="127"/>
    </row>
    <row r="152" spans="1:44" ht="15">
      <c r="A152" s="83"/>
      <c r="B152" s="83"/>
      <c r="C152" s="83"/>
      <c r="D152" s="83"/>
      <c r="E152" s="83"/>
      <c r="F152" s="83"/>
      <c r="G152" s="83"/>
      <c r="H152" s="83"/>
      <c r="I152" s="155"/>
      <c r="J152" s="82"/>
      <c r="K152" s="58"/>
      <c r="L152" s="58"/>
      <c r="M152" s="58"/>
      <c r="N152" s="58"/>
      <c r="O152" s="58"/>
      <c r="P152" s="58"/>
      <c r="Q152" s="58"/>
      <c r="R152" s="58"/>
      <c r="S152" s="58"/>
      <c r="T152" s="58"/>
      <c r="U152" s="58"/>
      <c r="V152" s="58"/>
      <c r="W152" s="58"/>
      <c r="X152" s="58"/>
      <c r="Y152" s="58"/>
      <c r="Z152" s="58"/>
      <c r="AA152" s="127"/>
      <c r="AB152" s="127"/>
      <c r="AC152" s="127"/>
      <c r="AD152" s="127"/>
      <c r="AE152" s="127"/>
      <c r="AF152" s="127"/>
      <c r="AG152" s="127"/>
      <c r="AH152" s="127"/>
      <c r="AI152" s="127"/>
      <c r="AJ152" s="127"/>
      <c r="AK152" s="127"/>
      <c r="AL152" s="127"/>
      <c r="AM152" s="127"/>
      <c r="AN152" s="127"/>
      <c r="AO152" s="127"/>
      <c r="AP152" s="127"/>
      <c r="AQ152" s="127"/>
      <c r="AR152" s="127"/>
    </row>
    <row r="153" spans="1:44" ht="15">
      <c r="A153" s="83"/>
      <c r="B153" s="83"/>
      <c r="C153" s="83"/>
      <c r="D153" s="83"/>
      <c r="E153" s="83"/>
      <c r="F153" s="83"/>
      <c r="G153" s="83"/>
      <c r="H153" s="83"/>
      <c r="I153" s="155"/>
      <c r="J153" s="82"/>
      <c r="K153" s="58"/>
      <c r="L153" s="58"/>
      <c r="M153" s="58"/>
      <c r="N153" s="58"/>
      <c r="O153" s="58"/>
      <c r="P153" s="58"/>
      <c r="Q153" s="58"/>
      <c r="R153" s="58"/>
      <c r="S153" s="58"/>
      <c r="T153" s="58"/>
      <c r="U153" s="58"/>
      <c r="V153" s="58"/>
      <c r="W153" s="58"/>
      <c r="X153" s="58"/>
      <c r="Y153" s="58"/>
      <c r="Z153" s="58"/>
      <c r="AA153" s="127"/>
      <c r="AB153" s="127"/>
      <c r="AC153" s="127"/>
      <c r="AD153" s="127"/>
      <c r="AE153" s="127"/>
      <c r="AF153" s="127"/>
      <c r="AG153" s="127"/>
      <c r="AH153" s="127"/>
      <c r="AI153" s="127"/>
      <c r="AJ153" s="127"/>
      <c r="AK153" s="127"/>
      <c r="AL153" s="127"/>
      <c r="AM153" s="127"/>
      <c r="AN153" s="127"/>
      <c r="AO153" s="127"/>
      <c r="AP153" s="127"/>
      <c r="AQ153" s="127"/>
      <c r="AR153" s="127"/>
    </row>
    <row r="154" spans="1:44" ht="15">
      <c r="A154" s="83"/>
      <c r="B154" s="83"/>
      <c r="C154" s="83"/>
      <c r="D154" s="83"/>
      <c r="E154" s="83"/>
      <c r="F154" s="83"/>
      <c r="G154" s="83"/>
      <c r="H154" s="83"/>
      <c r="I154" s="155"/>
      <c r="J154" s="82"/>
      <c r="K154" s="58"/>
      <c r="L154" s="58"/>
      <c r="M154" s="58"/>
      <c r="N154" s="58"/>
      <c r="O154" s="58"/>
      <c r="P154" s="58"/>
      <c r="Q154" s="58"/>
      <c r="R154" s="58"/>
      <c r="S154" s="58"/>
      <c r="T154" s="58"/>
      <c r="U154" s="58"/>
      <c r="V154" s="58"/>
      <c r="W154" s="58"/>
      <c r="X154" s="58"/>
      <c r="Y154" s="58"/>
      <c r="Z154" s="58"/>
      <c r="AA154" s="127"/>
      <c r="AB154" s="127"/>
      <c r="AC154" s="127"/>
      <c r="AD154" s="127"/>
      <c r="AE154" s="127"/>
      <c r="AF154" s="127"/>
      <c r="AG154" s="127"/>
      <c r="AH154" s="127"/>
      <c r="AI154" s="127"/>
      <c r="AJ154" s="127"/>
      <c r="AK154" s="127"/>
      <c r="AL154" s="127"/>
      <c r="AM154" s="127"/>
      <c r="AN154" s="127"/>
      <c r="AO154" s="127"/>
      <c r="AP154" s="127"/>
      <c r="AQ154" s="127"/>
      <c r="AR154" s="127"/>
    </row>
    <row r="155" spans="1:44" ht="15">
      <c r="A155" s="83"/>
      <c r="B155" s="83"/>
      <c r="C155" s="83"/>
      <c r="D155" s="83"/>
      <c r="E155" s="83"/>
      <c r="F155" s="83"/>
      <c r="G155" s="83"/>
      <c r="H155" s="83"/>
      <c r="I155" s="155"/>
      <c r="J155" s="82"/>
      <c r="K155" s="58"/>
      <c r="L155" s="58"/>
      <c r="M155" s="58"/>
      <c r="N155" s="58"/>
      <c r="O155" s="58"/>
      <c r="P155" s="58"/>
      <c r="Q155" s="58"/>
      <c r="R155" s="58"/>
      <c r="S155" s="58"/>
      <c r="T155" s="58"/>
      <c r="U155" s="58"/>
      <c r="V155" s="58"/>
      <c r="W155" s="58"/>
      <c r="X155" s="58"/>
      <c r="Y155" s="58"/>
      <c r="Z155" s="58"/>
      <c r="AA155" s="127"/>
      <c r="AB155" s="127"/>
      <c r="AC155" s="127"/>
      <c r="AD155" s="127"/>
      <c r="AE155" s="127"/>
      <c r="AF155" s="127"/>
      <c r="AG155" s="127"/>
      <c r="AH155" s="127"/>
      <c r="AI155" s="127"/>
      <c r="AJ155" s="127"/>
      <c r="AK155" s="127"/>
      <c r="AL155" s="127"/>
      <c r="AM155" s="127"/>
      <c r="AN155" s="127"/>
      <c r="AO155" s="127"/>
      <c r="AP155" s="127"/>
      <c r="AQ155" s="127"/>
      <c r="AR155" s="127"/>
    </row>
    <row r="156" spans="1:44" ht="15">
      <c r="A156" s="83"/>
      <c r="B156" s="83"/>
      <c r="C156" s="83"/>
      <c r="D156" s="83"/>
      <c r="E156" s="83"/>
      <c r="F156" s="83"/>
      <c r="G156" s="83"/>
      <c r="H156" s="83"/>
      <c r="I156" s="155"/>
      <c r="J156" s="82"/>
      <c r="K156" s="58"/>
      <c r="L156" s="58"/>
      <c r="M156" s="58"/>
      <c r="N156" s="58"/>
      <c r="O156" s="58"/>
      <c r="P156" s="58"/>
      <c r="Q156" s="58"/>
      <c r="R156" s="58"/>
      <c r="S156" s="58"/>
      <c r="T156" s="58"/>
      <c r="U156" s="58"/>
      <c r="V156" s="58"/>
      <c r="W156" s="58"/>
      <c r="X156" s="58"/>
      <c r="Y156" s="58"/>
      <c r="Z156" s="58"/>
      <c r="AA156" s="127"/>
      <c r="AB156" s="127"/>
      <c r="AC156" s="127"/>
      <c r="AD156" s="127"/>
      <c r="AE156" s="127"/>
      <c r="AF156" s="127"/>
      <c r="AG156" s="127"/>
      <c r="AH156" s="127"/>
      <c r="AI156" s="127"/>
      <c r="AJ156" s="127"/>
      <c r="AK156" s="127"/>
      <c r="AL156" s="127"/>
      <c r="AM156" s="127"/>
      <c r="AN156" s="127"/>
      <c r="AO156" s="127"/>
      <c r="AP156" s="127"/>
      <c r="AQ156" s="127"/>
      <c r="AR156" s="127"/>
    </row>
    <row r="157" spans="1:44" ht="15">
      <c r="A157" s="83"/>
      <c r="B157" s="83"/>
      <c r="C157" s="83"/>
      <c r="D157" s="83"/>
      <c r="E157" s="83"/>
      <c r="F157" s="83"/>
      <c r="G157" s="83"/>
      <c r="H157" s="83"/>
      <c r="I157" s="155"/>
      <c r="J157" s="82"/>
      <c r="K157" s="58"/>
      <c r="L157" s="58"/>
      <c r="M157" s="58"/>
      <c r="N157" s="58"/>
      <c r="O157" s="58"/>
      <c r="P157" s="58"/>
      <c r="Q157" s="58"/>
      <c r="R157" s="58"/>
      <c r="S157" s="58"/>
      <c r="T157" s="58"/>
      <c r="U157" s="58"/>
      <c r="V157" s="58"/>
      <c r="W157" s="58"/>
      <c r="X157" s="58"/>
      <c r="Y157" s="58"/>
      <c r="Z157" s="58"/>
      <c r="AA157" s="127"/>
      <c r="AB157" s="127"/>
      <c r="AC157" s="127"/>
      <c r="AD157" s="127"/>
      <c r="AE157" s="127"/>
      <c r="AF157" s="127"/>
      <c r="AG157" s="127"/>
      <c r="AH157" s="127"/>
      <c r="AI157" s="127"/>
      <c r="AJ157" s="127"/>
      <c r="AK157" s="127"/>
      <c r="AL157" s="127"/>
      <c r="AM157" s="127"/>
      <c r="AN157" s="127"/>
      <c r="AO157" s="127"/>
      <c r="AP157" s="127"/>
      <c r="AQ157" s="127"/>
      <c r="AR157" s="127"/>
    </row>
    <row r="158" spans="1:44" ht="15">
      <c r="A158" s="83"/>
      <c r="B158" s="83"/>
      <c r="C158" s="83"/>
      <c r="D158" s="83"/>
      <c r="E158" s="83"/>
      <c r="F158" s="83"/>
      <c r="G158" s="83"/>
      <c r="H158" s="83"/>
      <c r="I158" s="155"/>
      <c r="J158" s="82"/>
      <c r="K158" s="58"/>
      <c r="L158" s="58"/>
      <c r="M158" s="58"/>
      <c r="N158" s="58"/>
      <c r="O158" s="58"/>
      <c r="P158" s="58"/>
      <c r="Q158" s="58"/>
      <c r="R158" s="58"/>
      <c r="S158" s="58"/>
      <c r="T158" s="58"/>
      <c r="U158" s="58"/>
      <c r="V158" s="58"/>
      <c r="W158" s="58"/>
      <c r="X158" s="58"/>
      <c r="Y158" s="58"/>
      <c r="Z158" s="58"/>
      <c r="AA158" s="127"/>
      <c r="AB158" s="127"/>
      <c r="AC158" s="127"/>
      <c r="AD158" s="127"/>
      <c r="AE158" s="127"/>
      <c r="AF158" s="127"/>
      <c r="AG158" s="127"/>
      <c r="AH158" s="127"/>
      <c r="AI158" s="127"/>
      <c r="AJ158" s="127"/>
      <c r="AK158" s="127"/>
      <c r="AL158" s="127"/>
      <c r="AM158" s="127"/>
      <c r="AN158" s="127"/>
      <c r="AO158" s="127"/>
      <c r="AP158" s="127"/>
      <c r="AQ158" s="127"/>
      <c r="AR158" s="127"/>
    </row>
    <row r="159" spans="1:44" ht="15">
      <c r="A159" s="83"/>
      <c r="B159" s="83"/>
      <c r="C159" s="83"/>
      <c r="D159" s="83"/>
      <c r="E159" s="83"/>
      <c r="F159" s="83"/>
      <c r="G159" s="83"/>
      <c r="H159" s="83"/>
      <c r="I159" s="155"/>
      <c r="J159" s="82"/>
      <c r="K159" s="58"/>
      <c r="L159" s="58"/>
      <c r="M159" s="58"/>
      <c r="N159" s="58"/>
      <c r="O159" s="58"/>
      <c r="P159" s="58"/>
      <c r="Q159" s="58"/>
      <c r="R159" s="58"/>
      <c r="S159" s="58"/>
      <c r="T159" s="58"/>
      <c r="U159" s="58"/>
      <c r="V159" s="58"/>
      <c r="W159" s="58"/>
      <c r="X159" s="58"/>
      <c r="Y159" s="58"/>
      <c r="Z159" s="58"/>
      <c r="AA159" s="127"/>
      <c r="AB159" s="127"/>
      <c r="AC159" s="127"/>
      <c r="AD159" s="127"/>
      <c r="AE159" s="127"/>
      <c r="AF159" s="127"/>
      <c r="AG159" s="127"/>
      <c r="AH159" s="127"/>
      <c r="AI159" s="127"/>
      <c r="AJ159" s="127"/>
      <c r="AK159" s="127"/>
      <c r="AL159" s="127"/>
      <c r="AM159" s="127"/>
      <c r="AN159" s="127"/>
      <c r="AO159" s="127"/>
      <c r="AP159" s="127"/>
      <c r="AQ159" s="127"/>
      <c r="AR159" s="127"/>
    </row>
    <row r="160" spans="1:44" ht="15">
      <c r="A160" s="83"/>
      <c r="B160" s="83"/>
      <c r="C160" s="83"/>
      <c r="D160" s="83"/>
      <c r="E160" s="83"/>
      <c r="F160" s="83"/>
      <c r="G160" s="83"/>
      <c r="H160" s="83"/>
      <c r="I160" s="155"/>
      <c r="J160" s="82"/>
      <c r="K160" s="58"/>
      <c r="L160" s="58"/>
      <c r="M160" s="58"/>
      <c r="N160" s="58"/>
      <c r="O160" s="58"/>
      <c r="P160" s="58"/>
      <c r="Q160" s="58"/>
      <c r="R160" s="58"/>
      <c r="S160" s="58"/>
      <c r="T160" s="58"/>
      <c r="U160" s="58"/>
      <c r="V160" s="58"/>
      <c r="W160" s="58"/>
      <c r="X160" s="58"/>
      <c r="Y160" s="58"/>
      <c r="Z160" s="58"/>
      <c r="AA160" s="127"/>
      <c r="AB160" s="127"/>
      <c r="AC160" s="127"/>
      <c r="AD160" s="127"/>
      <c r="AE160" s="127"/>
      <c r="AF160" s="127"/>
      <c r="AG160" s="127"/>
      <c r="AH160" s="127"/>
      <c r="AI160" s="127"/>
      <c r="AJ160" s="127"/>
      <c r="AK160" s="127"/>
      <c r="AL160" s="127"/>
      <c r="AM160" s="127"/>
      <c r="AN160" s="127"/>
      <c r="AO160" s="127"/>
      <c r="AP160" s="127"/>
      <c r="AQ160" s="127"/>
      <c r="AR160" s="127"/>
    </row>
    <row r="161" spans="1:44" ht="15">
      <c r="A161" s="83"/>
      <c r="B161" s="83"/>
      <c r="C161" s="83"/>
      <c r="D161" s="83"/>
      <c r="E161" s="83"/>
      <c r="F161" s="83"/>
      <c r="G161" s="83"/>
      <c r="H161" s="83"/>
      <c r="I161" s="155"/>
      <c r="J161" s="82"/>
      <c r="K161" s="58"/>
      <c r="L161" s="58"/>
      <c r="M161" s="58"/>
      <c r="N161" s="58"/>
      <c r="O161" s="58"/>
      <c r="P161" s="58"/>
      <c r="Q161" s="58"/>
      <c r="R161" s="58"/>
      <c r="S161" s="58"/>
      <c r="T161" s="58"/>
      <c r="U161" s="58"/>
      <c r="V161" s="58"/>
      <c r="W161" s="58"/>
      <c r="X161" s="58"/>
      <c r="Y161" s="58"/>
      <c r="Z161" s="58"/>
      <c r="AA161" s="127"/>
      <c r="AB161" s="127"/>
      <c r="AC161" s="127"/>
      <c r="AD161" s="127"/>
      <c r="AE161" s="127"/>
      <c r="AF161" s="127"/>
      <c r="AG161" s="127"/>
      <c r="AH161" s="127"/>
      <c r="AI161" s="127"/>
      <c r="AJ161" s="127"/>
      <c r="AK161" s="127"/>
      <c r="AL161" s="127"/>
      <c r="AM161" s="127"/>
      <c r="AN161" s="127"/>
      <c r="AO161" s="127"/>
      <c r="AP161" s="127"/>
      <c r="AQ161" s="127"/>
      <c r="AR161" s="127"/>
    </row>
    <row r="162" spans="1:44" ht="15">
      <c r="A162" s="83"/>
      <c r="B162" s="83"/>
      <c r="C162" s="83"/>
      <c r="D162" s="83"/>
      <c r="E162" s="83"/>
      <c r="F162" s="83"/>
      <c r="G162" s="83"/>
      <c r="H162" s="83"/>
      <c r="I162" s="155"/>
      <c r="J162" s="82"/>
      <c r="K162" s="58"/>
      <c r="L162" s="58"/>
      <c r="M162" s="58"/>
      <c r="N162" s="58"/>
      <c r="O162" s="58"/>
      <c r="P162" s="58"/>
      <c r="Q162" s="58"/>
      <c r="R162" s="58"/>
      <c r="S162" s="58"/>
      <c r="T162" s="58"/>
      <c r="U162" s="58"/>
      <c r="V162" s="58"/>
      <c r="W162" s="58"/>
      <c r="X162" s="58"/>
      <c r="Y162" s="58"/>
      <c r="Z162" s="58"/>
      <c r="AA162" s="127"/>
      <c r="AB162" s="127"/>
      <c r="AC162" s="127"/>
      <c r="AD162" s="127"/>
      <c r="AE162" s="127"/>
      <c r="AF162" s="127"/>
      <c r="AG162" s="127"/>
      <c r="AH162" s="127"/>
      <c r="AI162" s="127"/>
      <c r="AJ162" s="127"/>
      <c r="AK162" s="127"/>
      <c r="AL162" s="127"/>
      <c r="AM162" s="127"/>
      <c r="AN162" s="127"/>
      <c r="AO162" s="127"/>
      <c r="AP162" s="127"/>
      <c r="AQ162" s="127"/>
      <c r="AR162" s="127"/>
    </row>
    <row r="163" spans="1:44" ht="15">
      <c r="A163" s="83"/>
      <c r="B163" s="83"/>
      <c r="C163" s="83"/>
      <c r="D163" s="83"/>
      <c r="E163" s="83"/>
      <c r="F163" s="83"/>
      <c r="G163" s="83"/>
      <c r="H163" s="83"/>
      <c r="I163" s="155"/>
      <c r="J163" s="82"/>
      <c r="K163" s="58"/>
      <c r="L163" s="58"/>
      <c r="M163" s="58"/>
      <c r="N163" s="58"/>
      <c r="O163" s="58"/>
      <c r="P163" s="58"/>
      <c r="Q163" s="58"/>
      <c r="R163" s="58"/>
      <c r="S163" s="58"/>
      <c r="T163" s="58"/>
      <c r="U163" s="58"/>
      <c r="V163" s="58"/>
      <c r="W163" s="58"/>
      <c r="X163" s="58"/>
      <c r="Y163" s="58"/>
      <c r="Z163" s="58"/>
      <c r="AA163" s="127"/>
      <c r="AB163" s="127"/>
      <c r="AC163" s="127"/>
      <c r="AD163" s="127"/>
      <c r="AE163" s="127"/>
      <c r="AF163" s="127"/>
      <c r="AG163" s="127"/>
      <c r="AH163" s="127"/>
      <c r="AI163" s="127"/>
      <c r="AJ163" s="127"/>
      <c r="AK163" s="127"/>
      <c r="AL163" s="127"/>
      <c r="AM163" s="127"/>
      <c r="AN163" s="127"/>
      <c r="AO163" s="127"/>
      <c r="AP163" s="127"/>
      <c r="AQ163" s="127"/>
      <c r="AR163" s="127"/>
    </row>
    <row r="164" spans="1:44" ht="15">
      <c r="A164" s="83"/>
      <c r="B164" s="83"/>
      <c r="C164" s="83"/>
      <c r="D164" s="83"/>
      <c r="E164" s="83"/>
      <c r="F164" s="83"/>
      <c r="G164" s="83"/>
      <c r="H164" s="83"/>
      <c r="I164" s="155"/>
      <c r="J164" s="82"/>
      <c r="K164" s="58"/>
      <c r="L164" s="58"/>
      <c r="M164" s="58"/>
      <c r="N164" s="58"/>
      <c r="O164" s="58"/>
      <c r="P164" s="58"/>
      <c r="Q164" s="58"/>
      <c r="R164" s="58"/>
      <c r="S164" s="58"/>
      <c r="T164" s="58"/>
      <c r="U164" s="58"/>
      <c r="V164" s="58"/>
      <c r="W164" s="58"/>
      <c r="X164" s="58"/>
      <c r="Y164" s="58"/>
      <c r="Z164" s="58"/>
      <c r="AA164" s="127"/>
      <c r="AB164" s="127"/>
      <c r="AC164" s="127"/>
      <c r="AD164" s="127"/>
      <c r="AE164" s="127"/>
      <c r="AF164" s="127"/>
      <c r="AG164" s="127"/>
      <c r="AH164" s="127"/>
      <c r="AI164" s="127"/>
      <c r="AJ164" s="127"/>
      <c r="AK164" s="127"/>
      <c r="AL164" s="127"/>
      <c r="AM164" s="127"/>
      <c r="AN164" s="127"/>
      <c r="AO164" s="127"/>
      <c r="AP164" s="127"/>
      <c r="AQ164" s="127"/>
      <c r="AR164" s="127"/>
    </row>
    <row r="165" spans="1:44" ht="15">
      <c r="A165" s="83"/>
      <c r="B165" s="83"/>
      <c r="C165" s="83"/>
      <c r="D165" s="83"/>
      <c r="E165" s="83"/>
      <c r="F165" s="83"/>
      <c r="G165" s="83"/>
      <c r="H165" s="83"/>
      <c r="I165" s="155"/>
      <c r="J165" s="82"/>
      <c r="K165" s="58"/>
      <c r="L165" s="58"/>
      <c r="M165" s="58"/>
      <c r="N165" s="58"/>
      <c r="O165" s="58"/>
      <c r="P165" s="58"/>
      <c r="Q165" s="58"/>
      <c r="R165" s="58"/>
      <c r="S165" s="58"/>
      <c r="T165" s="58"/>
      <c r="U165" s="58"/>
      <c r="V165" s="58"/>
      <c r="W165" s="58"/>
      <c r="X165" s="58"/>
      <c r="Y165" s="58"/>
      <c r="Z165" s="58"/>
      <c r="AA165" s="127"/>
      <c r="AB165" s="127"/>
      <c r="AC165" s="127"/>
      <c r="AD165" s="127"/>
      <c r="AE165" s="127"/>
      <c r="AF165" s="127"/>
      <c r="AG165" s="127"/>
      <c r="AH165" s="127"/>
      <c r="AI165" s="127"/>
      <c r="AJ165" s="127"/>
      <c r="AK165" s="127"/>
      <c r="AL165" s="127"/>
      <c r="AM165" s="127"/>
      <c r="AN165" s="127"/>
      <c r="AO165" s="127"/>
      <c r="AP165" s="127"/>
      <c r="AQ165" s="127"/>
      <c r="AR165" s="127"/>
    </row>
    <row r="166" spans="1:44" ht="15">
      <c r="A166" s="83"/>
      <c r="B166" s="83"/>
      <c r="C166" s="83"/>
      <c r="D166" s="83"/>
      <c r="E166" s="83"/>
      <c r="F166" s="83"/>
      <c r="G166" s="83"/>
      <c r="H166" s="83"/>
      <c r="I166" s="155"/>
      <c r="J166" s="82"/>
      <c r="K166" s="58"/>
      <c r="L166" s="58"/>
      <c r="M166" s="58"/>
      <c r="N166" s="58"/>
      <c r="O166" s="58"/>
      <c r="P166" s="58"/>
      <c r="Q166" s="58"/>
      <c r="R166" s="58"/>
      <c r="S166" s="58"/>
      <c r="T166" s="58"/>
      <c r="U166" s="58"/>
      <c r="V166" s="58"/>
      <c r="W166" s="58"/>
      <c r="X166" s="58"/>
      <c r="Y166" s="58"/>
      <c r="Z166" s="58"/>
      <c r="AA166" s="127"/>
      <c r="AB166" s="127"/>
      <c r="AC166" s="127"/>
      <c r="AD166" s="127"/>
      <c r="AE166" s="127"/>
      <c r="AF166" s="127"/>
      <c r="AG166" s="127"/>
      <c r="AH166" s="127"/>
      <c r="AI166" s="127"/>
      <c r="AJ166" s="127"/>
      <c r="AK166" s="127"/>
      <c r="AL166" s="127"/>
      <c r="AM166" s="127"/>
      <c r="AN166" s="127"/>
      <c r="AO166" s="127"/>
      <c r="AP166" s="127"/>
      <c r="AQ166" s="127"/>
      <c r="AR166" s="127"/>
    </row>
    <row r="167" spans="1:44" ht="15">
      <c r="A167" s="83"/>
      <c r="B167" s="83"/>
      <c r="C167" s="83"/>
      <c r="D167" s="83"/>
      <c r="E167" s="83"/>
      <c r="F167" s="83"/>
      <c r="G167" s="83"/>
      <c r="H167" s="83"/>
      <c r="I167" s="155"/>
      <c r="J167" s="82"/>
      <c r="K167" s="58"/>
      <c r="L167" s="58"/>
      <c r="M167" s="58"/>
      <c r="N167" s="58"/>
      <c r="O167" s="58"/>
      <c r="P167" s="58"/>
      <c r="Q167" s="58"/>
      <c r="R167" s="58"/>
      <c r="S167" s="58"/>
      <c r="T167" s="58"/>
      <c r="U167" s="58"/>
      <c r="V167" s="58"/>
      <c r="W167" s="58"/>
      <c r="X167" s="58"/>
      <c r="Y167" s="58"/>
      <c r="Z167" s="58"/>
      <c r="AA167" s="127"/>
      <c r="AB167" s="127"/>
      <c r="AC167" s="127"/>
      <c r="AD167" s="127"/>
      <c r="AE167" s="127"/>
      <c r="AF167" s="127"/>
      <c r="AG167" s="127"/>
      <c r="AH167" s="127"/>
      <c r="AI167" s="127"/>
      <c r="AJ167" s="127"/>
      <c r="AK167" s="127"/>
      <c r="AL167" s="127"/>
      <c r="AM167" s="127"/>
      <c r="AN167" s="127"/>
      <c r="AO167" s="127"/>
      <c r="AP167" s="127"/>
      <c r="AQ167" s="127"/>
      <c r="AR167" s="127"/>
    </row>
    <row r="168" spans="1:44" ht="15">
      <c r="A168" s="83"/>
      <c r="B168" s="83"/>
      <c r="C168" s="83"/>
      <c r="D168" s="83"/>
      <c r="E168" s="83"/>
      <c r="F168" s="83"/>
      <c r="G168" s="83"/>
      <c r="H168" s="83"/>
      <c r="I168" s="155"/>
      <c r="J168" s="82"/>
      <c r="K168" s="58"/>
      <c r="L168" s="58"/>
      <c r="M168" s="58"/>
      <c r="N168" s="58"/>
      <c r="O168" s="58"/>
      <c r="P168" s="58"/>
      <c r="Q168" s="58"/>
      <c r="R168" s="58"/>
      <c r="S168" s="58"/>
      <c r="T168" s="58"/>
      <c r="U168" s="58"/>
      <c r="V168" s="58"/>
      <c r="W168" s="58"/>
      <c r="X168" s="58"/>
      <c r="Y168" s="58"/>
      <c r="Z168" s="58"/>
      <c r="AA168" s="127"/>
      <c r="AB168" s="127"/>
      <c r="AC168" s="127"/>
      <c r="AD168" s="127"/>
      <c r="AE168" s="127"/>
      <c r="AF168" s="127"/>
      <c r="AG168" s="127"/>
      <c r="AH168" s="127"/>
      <c r="AI168" s="127"/>
      <c r="AJ168" s="127"/>
      <c r="AK168" s="127"/>
      <c r="AL168" s="127"/>
      <c r="AM168" s="127"/>
      <c r="AN168" s="127"/>
      <c r="AO168" s="127"/>
      <c r="AP168" s="127"/>
      <c r="AQ168" s="127"/>
      <c r="AR168" s="127"/>
    </row>
    <row r="169" spans="1:26" ht="15">
      <c r="A169" s="83"/>
      <c r="B169" s="83"/>
      <c r="C169" s="83"/>
      <c r="D169" s="83"/>
      <c r="E169" s="83"/>
      <c r="F169" s="83"/>
      <c r="G169" s="83"/>
      <c r="H169" s="83"/>
      <c r="I169" s="155"/>
      <c r="J169" s="82"/>
      <c r="K169" s="58"/>
      <c r="L169" s="58"/>
      <c r="M169" s="58"/>
      <c r="N169" s="58"/>
      <c r="O169" s="58"/>
      <c r="P169" s="58"/>
      <c r="Q169" s="58"/>
      <c r="R169" s="58"/>
      <c r="S169" s="58"/>
      <c r="T169" s="58"/>
      <c r="U169" s="58"/>
      <c r="V169" s="58"/>
      <c r="W169" s="58"/>
      <c r="X169" s="58"/>
      <c r="Y169" s="58"/>
      <c r="Z169" s="58"/>
    </row>
    <row r="170" spans="1:8" ht="15">
      <c r="A170" s="83"/>
      <c r="B170" s="83"/>
      <c r="C170" s="83"/>
      <c r="D170" s="83"/>
      <c r="E170" s="83"/>
      <c r="F170" s="83"/>
      <c r="G170" s="83"/>
      <c r="H170" s="83"/>
    </row>
    <row r="171" spans="1:8" ht="15">
      <c r="A171" s="83"/>
      <c r="B171" s="83"/>
      <c r="C171" s="83"/>
      <c r="D171" s="83"/>
      <c r="E171" s="83"/>
      <c r="F171" s="83"/>
      <c r="G171" s="83"/>
      <c r="H171" s="83"/>
    </row>
    <row r="172" spans="1:8" ht="15">
      <c r="A172" s="83"/>
      <c r="B172" s="83"/>
      <c r="C172" s="83"/>
      <c r="D172" s="83"/>
      <c r="E172" s="83"/>
      <c r="F172" s="83"/>
      <c r="G172" s="83"/>
      <c r="H172" s="83"/>
    </row>
  </sheetData>
  <sheetProtection password="C4F0" sheet="1" objects="1" scenarios="1"/>
  <mergeCells count="7">
    <mergeCell ref="A30:C30"/>
    <mergeCell ref="A1:H1"/>
    <mergeCell ref="A2:H2"/>
    <mergeCell ref="A14:C14"/>
    <mergeCell ref="A10:D10"/>
    <mergeCell ref="A26:D26"/>
    <mergeCell ref="A8:C8"/>
  </mergeCells>
  <hyperlinks>
    <hyperlink ref="A9" r:id="rId1" display="(See Attachment D, Chart of Accounts, for 2004-2005 ASRFIN)"/>
  </hyperlinks>
  <printOptions horizontalCentered="1"/>
  <pageMargins left="0.34" right="0.31" top="0.5" bottom="0.5" header="0.5" footer="0.5"/>
  <pageSetup horizontalDpi="600" verticalDpi="600" orientation="landscape" scale="75" r:id="rId4"/>
  <legacyDrawing r:id="rId3"/>
</worksheet>
</file>

<file path=xl/worksheets/sheet3.xml><?xml version="1.0" encoding="utf-8"?>
<worksheet xmlns="http://schemas.openxmlformats.org/spreadsheetml/2006/main" xmlns:r="http://schemas.openxmlformats.org/officeDocument/2006/relationships">
  <sheetPr codeName="Sheet12"/>
  <dimension ref="A1:Z122"/>
  <sheetViews>
    <sheetView zoomScale="70" zoomScaleNormal="70" workbookViewId="0" topLeftCell="A1">
      <pane ySplit="6" topLeftCell="BM7" activePane="bottomLeft" state="frozen"/>
      <selection pane="topLeft" activeCell="A13" sqref="A13"/>
      <selection pane="bottomLeft" activeCell="A7" sqref="A7"/>
    </sheetView>
  </sheetViews>
  <sheetFormatPr defaultColWidth="9.140625" defaultRowHeight="12.75"/>
  <cols>
    <col min="1" max="1" width="11.00390625" style="2" customWidth="1"/>
    <col min="2" max="2" width="32.8515625" style="2" customWidth="1"/>
    <col min="3" max="3" width="11.28125" style="2" customWidth="1"/>
    <col min="4" max="5" width="20.7109375" style="2" customWidth="1"/>
    <col min="6" max="6" width="22.28125" style="2" customWidth="1"/>
    <col min="7" max="7" width="2.57421875" style="2" customWidth="1"/>
    <col min="8" max="8" width="26.28125" style="2" customWidth="1"/>
    <col min="9" max="9" width="25.7109375" style="58" customWidth="1"/>
    <col min="10" max="26" width="9.140625" style="58" customWidth="1"/>
    <col min="27" max="16384" width="9.140625" style="1" customWidth="1"/>
  </cols>
  <sheetData>
    <row r="1" spans="1:8" ht="25.5" customHeight="1">
      <c r="A1" s="202" t="s">
        <v>143</v>
      </c>
      <c r="B1" s="203"/>
      <c r="C1" s="203"/>
      <c r="D1" s="203"/>
      <c r="E1" s="203"/>
      <c r="F1" s="203"/>
      <c r="G1" s="203"/>
      <c r="H1" s="204"/>
    </row>
    <row r="2" spans="1:8" ht="18.75" thickBot="1">
      <c r="A2" s="205" t="s">
        <v>291</v>
      </c>
      <c r="B2" s="206"/>
      <c r="C2" s="206"/>
      <c r="D2" s="206"/>
      <c r="E2" s="206"/>
      <c r="F2" s="206"/>
      <c r="G2" s="206"/>
      <c r="H2" s="207"/>
    </row>
    <row r="3" spans="1:8" ht="15">
      <c r="A3" s="60"/>
      <c r="B3" s="61"/>
      <c r="C3" s="61"/>
      <c r="D3" s="61"/>
      <c r="E3" s="61"/>
      <c r="F3" s="61"/>
      <c r="G3" s="61"/>
      <c r="H3" s="62"/>
    </row>
    <row r="4" spans="1:8" ht="15.75">
      <c r="A4" s="63" t="s">
        <v>0</v>
      </c>
      <c r="B4" s="64" t="s">
        <v>1</v>
      </c>
      <c r="C4" s="61"/>
      <c r="D4" s="61"/>
      <c r="E4" s="61"/>
      <c r="F4" s="61"/>
      <c r="G4" s="61"/>
      <c r="H4" s="65"/>
    </row>
    <row r="5" spans="1:8" ht="21.75" customHeight="1">
      <c r="A5" s="106">
        <f>'Fiscal Year 2005 Worksheet'!A5</f>
        <v>0</v>
      </c>
      <c r="B5" s="107" t="e">
        <f>'Fiscal Year 2005 Worksheet'!B5</f>
        <v>#N/A</v>
      </c>
      <c r="C5" s="3"/>
      <c r="D5" s="61"/>
      <c r="E5" s="61"/>
      <c r="F5" s="61"/>
      <c r="G5" s="61"/>
      <c r="H5" s="65"/>
    </row>
    <row r="6" spans="1:8" ht="10.5" customHeight="1">
      <c r="A6" s="60"/>
      <c r="B6" s="61"/>
      <c r="C6" s="61"/>
      <c r="D6" s="61"/>
      <c r="E6" s="61"/>
      <c r="F6" s="61"/>
      <c r="G6" s="61"/>
      <c r="H6" s="65"/>
    </row>
    <row r="7" spans="1:8" ht="10.5" customHeight="1">
      <c r="A7" s="60"/>
      <c r="B7" s="61"/>
      <c r="C7" s="61"/>
      <c r="D7" s="61"/>
      <c r="E7" s="61"/>
      <c r="F7" s="61"/>
      <c r="G7" s="61"/>
      <c r="H7" s="65"/>
    </row>
    <row r="8" spans="1:10" ht="15" customHeight="1">
      <c r="A8" s="172" t="s">
        <v>446</v>
      </c>
      <c r="B8" s="193"/>
      <c r="C8" s="193"/>
      <c r="D8" s="193"/>
      <c r="E8" s="61"/>
      <c r="F8" s="112"/>
      <c r="G8" s="61"/>
      <c r="H8" s="67"/>
      <c r="I8" s="80"/>
      <c r="J8" s="80"/>
    </row>
    <row r="9" spans="1:10" ht="16.5" customHeight="1">
      <c r="A9" s="226" t="s">
        <v>637</v>
      </c>
      <c r="B9" s="214"/>
      <c r="C9" s="214"/>
      <c r="D9" s="214"/>
      <c r="E9" s="215"/>
      <c r="F9" s="61"/>
      <c r="G9" s="61"/>
      <c r="H9" s="67"/>
      <c r="I9" s="81"/>
      <c r="J9" s="82"/>
    </row>
    <row r="10" spans="1:10" ht="15">
      <c r="A10" s="200" t="s">
        <v>638</v>
      </c>
      <c r="B10" s="201"/>
      <c r="C10" s="201"/>
      <c r="D10" s="201"/>
      <c r="E10" s="94"/>
      <c r="F10" s="36"/>
      <c r="G10" s="61"/>
      <c r="H10" s="67"/>
      <c r="I10" s="80"/>
      <c r="J10" s="80"/>
    </row>
    <row r="11" spans="1:10" ht="6.75" customHeight="1" thickBot="1">
      <c r="A11" s="95"/>
      <c r="B11" s="96"/>
      <c r="C11" s="96"/>
      <c r="D11" s="96"/>
      <c r="E11" s="94"/>
      <c r="F11" s="99"/>
      <c r="G11" s="61"/>
      <c r="H11" s="67"/>
      <c r="I11" s="80"/>
      <c r="J11" s="80"/>
    </row>
    <row r="12" spans="1:10" ht="16.5" thickBot="1">
      <c r="A12" s="93" t="s">
        <v>441</v>
      </c>
      <c r="B12" s="70"/>
      <c r="C12" s="96"/>
      <c r="D12" s="96"/>
      <c r="E12" s="94"/>
      <c r="G12" s="61"/>
      <c r="H12" s="100">
        <f>SUM(F8-F10)</f>
        <v>0</v>
      </c>
      <c r="I12" s="80"/>
      <c r="J12" s="80"/>
    </row>
    <row r="13" spans="1:10" ht="21.75" customHeight="1">
      <c r="A13" s="60"/>
      <c r="B13" s="61"/>
      <c r="C13" s="61"/>
      <c r="D13" s="61"/>
      <c r="E13" s="61"/>
      <c r="F13" s="61"/>
      <c r="G13" s="61"/>
      <c r="H13" s="67"/>
      <c r="I13" s="80"/>
      <c r="J13" s="80"/>
    </row>
    <row r="14" spans="1:10" ht="15">
      <c r="A14" s="172" t="s">
        <v>444</v>
      </c>
      <c r="B14" s="193"/>
      <c r="C14" s="193"/>
      <c r="D14" s="61"/>
      <c r="E14" s="68"/>
      <c r="F14" s="36"/>
      <c r="G14" s="61"/>
      <c r="H14" s="85"/>
      <c r="I14" s="80"/>
      <c r="J14" s="80"/>
    </row>
    <row r="15" spans="1:10" ht="6.75" customHeight="1">
      <c r="A15" s="60"/>
      <c r="B15" s="68"/>
      <c r="C15" s="68"/>
      <c r="D15" s="68"/>
      <c r="E15" s="68"/>
      <c r="F15" s="33"/>
      <c r="G15" s="61"/>
      <c r="H15" s="69"/>
      <c r="I15" s="80"/>
      <c r="J15" s="80"/>
    </row>
    <row r="16" spans="1:10" ht="15">
      <c r="A16" s="101" t="s">
        <v>2</v>
      </c>
      <c r="B16" s="61"/>
      <c r="C16" s="61"/>
      <c r="D16" s="61"/>
      <c r="E16" s="61"/>
      <c r="F16" s="37"/>
      <c r="G16" s="61"/>
      <c r="H16" s="69"/>
      <c r="I16" s="80"/>
      <c r="J16" s="80"/>
    </row>
    <row r="17" spans="1:10" ht="6.75" customHeight="1">
      <c r="A17" s="102"/>
      <c r="B17" s="61"/>
      <c r="C17" s="61"/>
      <c r="D17" s="61"/>
      <c r="E17" s="61"/>
      <c r="F17" s="68"/>
      <c r="G17" s="61"/>
      <c r="H17" s="69"/>
      <c r="I17" s="80"/>
      <c r="J17" s="80"/>
    </row>
    <row r="18" spans="1:10" ht="15">
      <c r="A18" s="101" t="s">
        <v>3</v>
      </c>
      <c r="B18" s="61"/>
      <c r="C18" s="61"/>
      <c r="D18" s="61"/>
      <c r="E18" s="61"/>
      <c r="F18" s="36"/>
      <c r="G18" s="61"/>
      <c r="H18" s="69"/>
      <c r="I18" s="80"/>
      <c r="J18" s="80"/>
    </row>
    <row r="19" spans="1:10" ht="6.75" customHeight="1">
      <c r="A19" s="102"/>
      <c r="B19" s="61"/>
      <c r="C19" s="61"/>
      <c r="D19" s="61"/>
      <c r="E19" s="61"/>
      <c r="F19" s="68"/>
      <c r="G19" s="61"/>
      <c r="H19" s="69"/>
      <c r="I19" s="80"/>
      <c r="J19" s="80"/>
    </row>
    <row r="20" spans="1:10" ht="15">
      <c r="A20" s="101" t="s">
        <v>616</v>
      </c>
      <c r="B20" s="61"/>
      <c r="C20" s="61"/>
      <c r="D20" s="61"/>
      <c r="E20" s="61"/>
      <c r="F20" s="36"/>
      <c r="G20" s="61"/>
      <c r="H20" s="69"/>
      <c r="I20" s="80"/>
      <c r="J20" s="80"/>
    </row>
    <row r="21" spans="1:10" ht="6.75" customHeight="1">
      <c r="A21" s="60"/>
      <c r="B21" s="61"/>
      <c r="C21" s="61"/>
      <c r="D21" s="61"/>
      <c r="E21" s="61"/>
      <c r="F21" s="68"/>
      <c r="G21" s="61"/>
      <c r="H21" s="69"/>
      <c r="I21" s="81"/>
      <c r="J21" s="82"/>
    </row>
    <row r="22" spans="1:10" ht="15">
      <c r="A22" s="93" t="s">
        <v>4</v>
      </c>
      <c r="B22" s="61"/>
      <c r="C22" s="61"/>
      <c r="D22" s="61"/>
      <c r="E22" s="61"/>
      <c r="F22" s="6">
        <f>F14+F16-F18-F20</f>
        <v>0</v>
      </c>
      <c r="G22" s="61"/>
      <c r="H22" s="69"/>
      <c r="I22" s="80"/>
      <c r="J22" s="80"/>
    </row>
    <row r="23" spans="1:10" ht="6.75" customHeight="1">
      <c r="A23" s="60"/>
      <c r="B23" s="61"/>
      <c r="C23" s="61"/>
      <c r="D23" s="61"/>
      <c r="E23" s="68"/>
      <c r="F23" s="61"/>
      <c r="G23" s="61"/>
      <c r="H23" s="67"/>
      <c r="I23" s="80"/>
      <c r="J23" s="80"/>
    </row>
    <row r="24" spans="1:10" ht="15.75">
      <c r="A24" s="103" t="s">
        <v>5</v>
      </c>
      <c r="B24" s="70"/>
      <c r="C24" s="61"/>
      <c r="D24" s="61"/>
      <c r="E24" s="68"/>
      <c r="F24" s="61"/>
      <c r="G24" s="61"/>
      <c r="H24" s="78" t="e">
        <f>(ROUND(F22/$F$50,0))</f>
        <v>#DIV/0!</v>
      </c>
      <c r="I24" s="80"/>
      <c r="J24" s="80"/>
    </row>
    <row r="25" spans="1:10" ht="21.75" customHeight="1">
      <c r="A25" s="60"/>
      <c r="B25" s="61"/>
      <c r="C25" s="61"/>
      <c r="D25" s="61"/>
      <c r="E25" s="68"/>
      <c r="F25" s="61"/>
      <c r="G25" s="61"/>
      <c r="H25" s="65"/>
      <c r="I25" s="81"/>
      <c r="J25" s="82"/>
    </row>
    <row r="26" spans="1:10" ht="15">
      <c r="A26" s="172" t="s">
        <v>639</v>
      </c>
      <c r="B26" s="193"/>
      <c r="C26" s="193"/>
      <c r="D26" s="193"/>
      <c r="E26" s="98"/>
      <c r="F26" s="38" t="e">
        <f>VLOOKUP($A$5,'Source Data'!A2:T137,19,FALSE)</f>
        <v>#N/A</v>
      </c>
      <c r="G26" s="61"/>
      <c r="H26" s="65"/>
      <c r="I26" s="80"/>
      <c r="J26" s="80"/>
    </row>
    <row r="27" spans="1:10" ht="6.75" customHeight="1">
      <c r="A27" s="60"/>
      <c r="B27" s="61"/>
      <c r="C27" s="61"/>
      <c r="D27" s="61"/>
      <c r="E27" s="68"/>
      <c r="F27" s="61"/>
      <c r="G27" s="61"/>
      <c r="H27" s="65"/>
      <c r="I27" s="80"/>
      <c r="J27" s="80"/>
    </row>
    <row r="28" spans="1:10" ht="15.75">
      <c r="A28" s="103" t="s">
        <v>6</v>
      </c>
      <c r="B28" s="70"/>
      <c r="C28" s="61"/>
      <c r="D28" s="61"/>
      <c r="E28" s="68"/>
      <c r="F28" s="61"/>
      <c r="G28" s="61"/>
      <c r="H28" s="78" t="e">
        <f>(ROUND(F26/$F$50,0))</f>
        <v>#N/A</v>
      </c>
      <c r="I28" s="80"/>
      <c r="J28" s="80"/>
    </row>
    <row r="29" spans="1:10" ht="21.75" customHeight="1">
      <c r="A29" s="60"/>
      <c r="B29" s="61"/>
      <c r="C29" s="61"/>
      <c r="D29" s="61"/>
      <c r="E29" s="68"/>
      <c r="F29" s="61"/>
      <c r="G29" s="61"/>
      <c r="H29" s="65"/>
      <c r="I29" s="80"/>
      <c r="J29" s="80"/>
    </row>
    <row r="30" spans="1:10" ht="15">
      <c r="A30" s="172" t="s">
        <v>445</v>
      </c>
      <c r="B30" s="193"/>
      <c r="C30" s="193"/>
      <c r="D30" s="61"/>
      <c r="E30" s="68"/>
      <c r="F30" s="36"/>
      <c r="G30" s="61"/>
      <c r="H30" s="65"/>
      <c r="I30" s="80"/>
      <c r="J30" s="80"/>
    </row>
    <row r="31" spans="1:10" ht="6.75" customHeight="1">
      <c r="A31" s="71"/>
      <c r="B31" s="72"/>
      <c r="C31" s="72"/>
      <c r="D31" s="72"/>
      <c r="E31" s="72"/>
      <c r="F31" s="68"/>
      <c r="G31" s="72"/>
      <c r="H31" s="73"/>
      <c r="I31" s="80"/>
      <c r="J31" s="80"/>
    </row>
    <row r="32" spans="1:10" ht="15">
      <c r="A32" s="101" t="s">
        <v>7</v>
      </c>
      <c r="B32" s="61"/>
      <c r="C32" s="72"/>
      <c r="D32" s="72"/>
      <c r="E32" s="72"/>
      <c r="F32" s="37"/>
      <c r="G32" s="72"/>
      <c r="H32" s="73"/>
      <c r="I32" s="80"/>
      <c r="J32" s="80"/>
    </row>
    <row r="33" spans="1:10" ht="6.75" customHeight="1">
      <c r="A33" s="101"/>
      <c r="B33" s="61"/>
      <c r="C33" s="72"/>
      <c r="D33" s="72"/>
      <c r="E33" s="72"/>
      <c r="F33" s="68"/>
      <c r="G33" s="72"/>
      <c r="H33" s="73"/>
      <c r="I33" s="80"/>
      <c r="J33" s="80"/>
    </row>
    <row r="34" spans="1:10" ht="15">
      <c r="A34" s="101" t="s">
        <v>8</v>
      </c>
      <c r="B34" s="61"/>
      <c r="C34" s="72"/>
      <c r="D34" s="72"/>
      <c r="E34" s="72"/>
      <c r="F34" s="36"/>
      <c r="G34" s="72"/>
      <c r="H34" s="73"/>
      <c r="I34" s="80"/>
      <c r="J34" s="80"/>
    </row>
    <row r="35" spans="1:10" ht="6.75" customHeight="1">
      <c r="A35" s="101"/>
      <c r="B35" s="61"/>
      <c r="C35" s="72"/>
      <c r="D35" s="72"/>
      <c r="E35" s="72"/>
      <c r="F35" s="68"/>
      <c r="G35" s="72"/>
      <c r="H35" s="73"/>
      <c r="I35" s="80"/>
      <c r="J35" s="80"/>
    </row>
    <row r="36" spans="1:10" ht="15">
      <c r="A36" s="101" t="s">
        <v>617</v>
      </c>
      <c r="B36" s="61"/>
      <c r="C36" s="72"/>
      <c r="D36" s="72"/>
      <c r="E36" s="72"/>
      <c r="F36" s="36"/>
      <c r="G36" s="72"/>
      <c r="H36" s="73"/>
      <c r="I36" s="80"/>
      <c r="J36" s="80"/>
    </row>
    <row r="37" spans="1:10" ht="6.75" customHeight="1">
      <c r="A37" s="60"/>
      <c r="B37" s="61"/>
      <c r="C37" s="72"/>
      <c r="D37" s="72"/>
      <c r="E37" s="72"/>
      <c r="F37" s="72"/>
      <c r="G37" s="72"/>
      <c r="H37" s="73"/>
      <c r="I37" s="81"/>
      <c r="J37" s="82"/>
    </row>
    <row r="38" spans="1:10" ht="15">
      <c r="A38" s="93" t="s">
        <v>443</v>
      </c>
      <c r="B38" s="61"/>
      <c r="C38" s="72"/>
      <c r="D38" s="72"/>
      <c r="E38" s="72"/>
      <c r="F38" s="6">
        <f>F30+F32-F34-F36</f>
        <v>0</v>
      </c>
      <c r="G38" s="72"/>
      <c r="H38" s="73"/>
      <c r="I38" s="80"/>
      <c r="J38" s="80"/>
    </row>
    <row r="39" spans="1:10" ht="6.75" customHeight="1">
      <c r="A39" s="60"/>
      <c r="B39" s="61"/>
      <c r="C39" s="72"/>
      <c r="D39" s="72"/>
      <c r="E39" s="72"/>
      <c r="F39" s="72"/>
      <c r="G39" s="72"/>
      <c r="H39" s="73"/>
      <c r="I39" s="80"/>
      <c r="J39" s="80"/>
    </row>
    <row r="40" spans="1:10" ht="15.75">
      <c r="A40" s="103" t="s">
        <v>442</v>
      </c>
      <c r="B40" s="70"/>
      <c r="C40" s="72"/>
      <c r="D40" s="72"/>
      <c r="E40" s="72"/>
      <c r="F40" s="72"/>
      <c r="G40" s="72"/>
      <c r="H40" s="78" t="e">
        <f>(ROUND(F38/$F$50,0))</f>
        <v>#DIV/0!</v>
      </c>
      <c r="I40" s="80"/>
      <c r="J40" s="80"/>
    </row>
    <row r="41" spans="1:10" ht="21.75" customHeight="1">
      <c r="A41" s="71"/>
      <c r="B41" s="72"/>
      <c r="C41" s="72"/>
      <c r="D41" s="72"/>
      <c r="E41" s="72"/>
      <c r="F41" s="72"/>
      <c r="G41" s="72"/>
      <c r="H41" s="73"/>
      <c r="I41" s="81"/>
      <c r="J41" s="82"/>
    </row>
    <row r="42" spans="1:10" ht="15">
      <c r="A42" s="60" t="s">
        <v>287</v>
      </c>
      <c r="B42" s="72"/>
      <c r="C42" s="72"/>
      <c r="D42" s="72"/>
      <c r="E42" s="72"/>
      <c r="F42" s="6" t="e">
        <f>H12-F22-F26-F38</f>
        <v>#N/A</v>
      </c>
      <c r="G42" s="72"/>
      <c r="H42" s="73"/>
      <c r="I42" s="80"/>
      <c r="J42" s="80"/>
    </row>
    <row r="43" spans="1:10" ht="6.75" customHeight="1">
      <c r="A43" s="71"/>
      <c r="B43" s="72"/>
      <c r="C43" s="72"/>
      <c r="D43" s="72"/>
      <c r="E43" s="72"/>
      <c r="F43" s="72"/>
      <c r="G43" s="72"/>
      <c r="H43" s="73"/>
      <c r="I43" s="80"/>
      <c r="J43" s="80"/>
    </row>
    <row r="44" spans="1:10" ht="15.75">
      <c r="A44" s="103" t="s">
        <v>144</v>
      </c>
      <c r="B44" s="70"/>
      <c r="C44" s="72"/>
      <c r="D44" s="72"/>
      <c r="E44" s="72"/>
      <c r="F44" s="72"/>
      <c r="G44" s="72"/>
      <c r="H44" s="78" t="e">
        <f>(ROUND(F42/$F$50,0))</f>
        <v>#N/A</v>
      </c>
      <c r="I44" s="80"/>
      <c r="J44" s="80"/>
    </row>
    <row r="45" spans="1:10" ht="21.75" customHeight="1">
      <c r="A45" s="71"/>
      <c r="B45" s="72"/>
      <c r="C45" s="72"/>
      <c r="D45" s="72"/>
      <c r="E45" s="72"/>
      <c r="F45" s="72"/>
      <c r="G45" s="72"/>
      <c r="H45" s="73"/>
      <c r="I45" s="81"/>
      <c r="J45" s="82"/>
    </row>
    <row r="46" spans="1:10" ht="15">
      <c r="A46" s="60" t="s">
        <v>9</v>
      </c>
      <c r="B46" s="72"/>
      <c r="C46" s="72"/>
      <c r="D46" s="72"/>
      <c r="E46" s="72"/>
      <c r="F46" s="116">
        <f>H12</f>
        <v>0</v>
      </c>
      <c r="G46" s="72"/>
      <c r="H46" s="73"/>
      <c r="I46" s="80"/>
      <c r="J46" s="80"/>
    </row>
    <row r="47" spans="1:10" ht="6.75" customHeight="1">
      <c r="A47" s="71"/>
      <c r="B47" s="72"/>
      <c r="C47" s="72"/>
      <c r="D47" s="72"/>
      <c r="E47" s="72"/>
      <c r="F47" s="72"/>
      <c r="G47" s="72"/>
      <c r="H47" s="73"/>
      <c r="I47" s="80"/>
      <c r="J47" s="80"/>
    </row>
    <row r="48" spans="1:10" ht="15.75">
      <c r="A48" s="103" t="s">
        <v>10</v>
      </c>
      <c r="B48" s="70"/>
      <c r="C48" s="72"/>
      <c r="D48" s="72"/>
      <c r="E48" s="72"/>
      <c r="F48" s="72"/>
      <c r="G48" s="72"/>
      <c r="H48" s="78" t="e">
        <f>(ROUND(F46/$F$50,0))</f>
        <v>#DIV/0!</v>
      </c>
      <c r="I48" s="80"/>
      <c r="J48" s="80"/>
    </row>
    <row r="49" spans="1:10" ht="21.75" customHeight="1">
      <c r="A49" s="71"/>
      <c r="B49" s="72"/>
      <c r="C49" s="72"/>
      <c r="D49" s="72"/>
      <c r="E49" s="72"/>
      <c r="F49" s="72"/>
      <c r="G49" s="72"/>
      <c r="H49" s="73"/>
      <c r="I49" s="80"/>
      <c r="J49" s="80"/>
    </row>
    <row r="50" spans="1:10" ht="15.75">
      <c r="A50" s="74" t="s">
        <v>288</v>
      </c>
      <c r="B50" s="72"/>
      <c r="C50" s="72"/>
      <c r="D50" s="72"/>
      <c r="E50" s="72"/>
      <c r="F50" s="4"/>
      <c r="G50" s="72"/>
      <c r="H50" s="65"/>
      <c r="I50" s="80"/>
      <c r="J50" s="80"/>
    </row>
    <row r="51" spans="1:10" ht="15.75" thickBot="1">
      <c r="A51" s="75"/>
      <c r="B51" s="76"/>
      <c r="C51" s="76"/>
      <c r="D51" s="76"/>
      <c r="E51" s="76"/>
      <c r="F51" s="76"/>
      <c r="G51" s="76"/>
      <c r="H51" s="77"/>
      <c r="I51" s="80"/>
      <c r="J51" s="80"/>
    </row>
    <row r="52" spans="1:8" ht="15">
      <c r="A52" s="59"/>
      <c r="B52" s="59"/>
      <c r="C52" s="59"/>
      <c r="D52" s="59"/>
      <c r="E52" s="59"/>
      <c r="F52" s="59"/>
      <c r="G52" s="59"/>
      <c r="H52" s="59"/>
    </row>
    <row r="53" spans="1:8" ht="15">
      <c r="A53" s="59"/>
      <c r="B53" s="59"/>
      <c r="C53" s="59"/>
      <c r="D53" s="59"/>
      <c r="E53" s="59"/>
      <c r="F53" s="59"/>
      <c r="G53" s="59"/>
      <c r="H53" s="59"/>
    </row>
    <row r="54" spans="1:8" ht="15">
      <c r="A54" s="59"/>
      <c r="B54" s="59"/>
      <c r="C54" s="59"/>
      <c r="D54" s="59"/>
      <c r="E54" s="59"/>
      <c r="F54" s="59"/>
      <c r="G54" s="59"/>
      <c r="H54" s="59"/>
    </row>
    <row r="55" spans="1:8" ht="15">
      <c r="A55" s="59"/>
      <c r="B55" s="59"/>
      <c r="C55" s="59"/>
      <c r="D55" s="59"/>
      <c r="E55" s="59"/>
      <c r="F55" s="59"/>
      <c r="G55" s="59"/>
      <c r="H55" s="59"/>
    </row>
    <row r="56" spans="1:8" ht="15">
      <c r="A56" s="59"/>
      <c r="B56" s="59"/>
      <c r="C56" s="59"/>
      <c r="D56" s="59"/>
      <c r="E56" s="59"/>
      <c r="F56" s="59"/>
      <c r="G56" s="59"/>
      <c r="H56" s="59"/>
    </row>
    <row r="57" spans="1:8" ht="15">
      <c r="A57" s="59"/>
      <c r="B57" s="59"/>
      <c r="C57" s="59"/>
      <c r="D57" s="59"/>
      <c r="E57" s="59"/>
      <c r="F57" s="59"/>
      <c r="G57" s="59"/>
      <c r="H57" s="59"/>
    </row>
    <row r="58" spans="1:8" ht="15">
      <c r="A58" s="59"/>
      <c r="B58" s="59"/>
      <c r="C58" s="59"/>
      <c r="D58" s="59"/>
      <c r="E58" s="59"/>
      <c r="F58" s="59"/>
      <c r="G58" s="59"/>
      <c r="H58" s="59"/>
    </row>
    <row r="59" spans="1:8" ht="15">
      <c r="A59" s="59"/>
      <c r="B59" s="59"/>
      <c r="C59" s="59"/>
      <c r="D59" s="59"/>
      <c r="E59" s="59"/>
      <c r="F59" s="59"/>
      <c r="G59" s="59"/>
      <c r="H59" s="59"/>
    </row>
    <row r="60" spans="1:8" ht="15">
      <c r="A60" s="59"/>
      <c r="B60" s="59"/>
      <c r="C60" s="59"/>
      <c r="D60" s="59"/>
      <c r="E60" s="59"/>
      <c r="F60" s="59"/>
      <c r="G60" s="59"/>
      <c r="H60" s="59"/>
    </row>
    <row r="61" spans="1:8" ht="15">
      <c r="A61" s="59"/>
      <c r="B61" s="59"/>
      <c r="C61" s="59"/>
      <c r="D61" s="59"/>
      <c r="E61" s="59"/>
      <c r="F61" s="59"/>
      <c r="G61" s="59"/>
      <c r="H61" s="59"/>
    </row>
    <row r="62" spans="1:8" ht="15">
      <c r="A62" s="59"/>
      <c r="B62" s="59"/>
      <c r="C62" s="59"/>
      <c r="D62" s="59"/>
      <c r="E62" s="59"/>
      <c r="F62" s="59"/>
      <c r="G62" s="59"/>
      <c r="H62" s="59"/>
    </row>
    <row r="63" spans="1:8" ht="15">
      <c r="A63" s="59"/>
      <c r="B63" s="59"/>
      <c r="C63" s="59"/>
      <c r="D63" s="59"/>
      <c r="E63" s="59"/>
      <c r="F63" s="59"/>
      <c r="G63" s="59"/>
      <c r="H63" s="59"/>
    </row>
    <row r="64" spans="1:8" ht="15">
      <c r="A64" s="59"/>
      <c r="B64" s="59"/>
      <c r="C64" s="59"/>
      <c r="D64" s="59"/>
      <c r="E64" s="59"/>
      <c r="F64" s="59"/>
      <c r="G64" s="59"/>
      <c r="H64" s="59"/>
    </row>
    <row r="65" spans="1:8" ht="15">
      <c r="A65" s="59"/>
      <c r="B65" s="59"/>
      <c r="C65" s="59"/>
      <c r="D65" s="59"/>
      <c r="E65" s="59"/>
      <c r="F65" s="59"/>
      <c r="G65" s="59"/>
      <c r="H65" s="59"/>
    </row>
    <row r="66" spans="1:8" s="58" customFormat="1" ht="15">
      <c r="A66" s="59"/>
      <c r="B66" s="59"/>
      <c r="C66" s="59"/>
      <c r="D66" s="59"/>
      <c r="E66" s="59"/>
      <c r="F66" s="59"/>
      <c r="G66" s="59"/>
      <c r="H66" s="59"/>
    </row>
    <row r="67" spans="1:8" s="58" customFormat="1" ht="15">
      <c r="A67" s="59"/>
      <c r="B67" s="59"/>
      <c r="C67" s="59"/>
      <c r="D67" s="59"/>
      <c r="E67" s="59"/>
      <c r="F67" s="59"/>
      <c r="G67" s="59"/>
      <c r="H67" s="59"/>
    </row>
    <row r="68" spans="1:8" s="58" customFormat="1" ht="15">
      <c r="A68" s="59"/>
      <c r="B68" s="59"/>
      <c r="C68" s="59"/>
      <c r="D68" s="59"/>
      <c r="E68" s="59"/>
      <c r="F68" s="59"/>
      <c r="G68" s="59"/>
      <c r="H68" s="59"/>
    </row>
    <row r="69" spans="1:8" s="58" customFormat="1" ht="15">
      <c r="A69" s="59"/>
      <c r="B69" s="59"/>
      <c r="C69" s="59"/>
      <c r="D69" s="59"/>
      <c r="E69" s="59"/>
      <c r="F69" s="59"/>
      <c r="G69" s="59"/>
      <c r="H69" s="59"/>
    </row>
    <row r="70" spans="1:8" s="58" customFormat="1" ht="52.5" customHeight="1">
      <c r="A70" s="59"/>
      <c r="B70" s="59"/>
      <c r="C70" s="59"/>
      <c r="D70" s="59"/>
      <c r="E70" s="59"/>
      <c r="F70" s="59"/>
      <c r="G70" s="59"/>
      <c r="H70" s="59"/>
    </row>
    <row r="71" spans="1:8" s="58" customFormat="1" ht="15">
      <c r="A71" s="59"/>
      <c r="B71" s="59"/>
      <c r="C71" s="59"/>
      <c r="D71" s="59"/>
      <c r="E71" s="59"/>
      <c r="F71" s="59"/>
      <c r="G71" s="59"/>
      <c r="H71" s="59"/>
    </row>
    <row r="72" spans="1:8" s="58" customFormat="1" ht="31.5" customHeight="1">
      <c r="A72" s="59"/>
      <c r="B72" s="59"/>
      <c r="C72" s="59"/>
      <c r="D72" s="59"/>
      <c r="E72" s="59"/>
      <c r="F72" s="59"/>
      <c r="G72" s="59"/>
      <c r="H72" s="59"/>
    </row>
    <row r="73" spans="1:8" s="58" customFormat="1" ht="15">
      <c r="A73" s="59"/>
      <c r="B73" s="59"/>
      <c r="C73" s="59"/>
      <c r="D73" s="59"/>
      <c r="E73" s="59"/>
      <c r="F73" s="59"/>
      <c r="G73" s="59"/>
      <c r="H73" s="59"/>
    </row>
    <row r="74" spans="1:8" s="58" customFormat="1" ht="15">
      <c r="A74" s="59"/>
      <c r="B74" s="59"/>
      <c r="C74" s="59"/>
      <c r="D74" s="59"/>
      <c r="E74" s="59"/>
      <c r="F74" s="59"/>
      <c r="G74" s="59"/>
      <c r="H74" s="59"/>
    </row>
    <row r="75" spans="1:8" s="58" customFormat="1" ht="15">
      <c r="A75" s="59"/>
      <c r="B75" s="59"/>
      <c r="C75" s="59"/>
      <c r="D75" s="59"/>
      <c r="E75" s="59"/>
      <c r="F75" s="59"/>
      <c r="G75" s="59"/>
      <c r="H75" s="59"/>
    </row>
    <row r="76" spans="1:8" s="58" customFormat="1" ht="15">
      <c r="A76" s="59"/>
      <c r="B76" s="59"/>
      <c r="C76" s="59"/>
      <c r="D76" s="59"/>
      <c r="E76" s="59"/>
      <c r="F76" s="59"/>
      <c r="G76" s="59"/>
      <c r="H76" s="59"/>
    </row>
    <row r="79" spans="9:26" s="35" customFormat="1" ht="12.75">
      <c r="I79" s="59"/>
      <c r="J79" s="59"/>
      <c r="K79" s="59"/>
      <c r="L79" s="59"/>
      <c r="M79" s="59"/>
      <c r="N79" s="59"/>
      <c r="O79" s="59"/>
      <c r="P79" s="59"/>
      <c r="Q79" s="59"/>
      <c r="R79" s="59"/>
      <c r="S79" s="59"/>
      <c r="T79" s="59"/>
      <c r="U79" s="59"/>
      <c r="V79" s="59"/>
      <c r="W79" s="59"/>
      <c r="X79" s="59"/>
      <c r="Y79" s="59"/>
      <c r="Z79" s="59"/>
    </row>
    <row r="80" spans="9:26" s="35" customFormat="1" ht="12.75">
      <c r="I80" s="59"/>
      <c r="J80" s="59"/>
      <c r="K80" s="59"/>
      <c r="L80" s="59"/>
      <c r="M80" s="59"/>
      <c r="N80" s="59"/>
      <c r="O80" s="59"/>
      <c r="P80" s="59"/>
      <c r="Q80" s="59"/>
      <c r="R80" s="59"/>
      <c r="S80" s="59"/>
      <c r="T80" s="59"/>
      <c r="U80" s="59"/>
      <c r="V80" s="59"/>
      <c r="W80" s="59"/>
      <c r="X80" s="59"/>
      <c r="Y80" s="59"/>
      <c r="Z80" s="59"/>
    </row>
    <row r="81" spans="9:26" s="35" customFormat="1" ht="12.75">
      <c r="I81" s="59"/>
      <c r="J81" s="59"/>
      <c r="K81" s="59"/>
      <c r="L81" s="59"/>
      <c r="M81" s="59"/>
      <c r="N81" s="59"/>
      <c r="O81" s="59"/>
      <c r="P81" s="59"/>
      <c r="Q81" s="59"/>
      <c r="R81" s="59"/>
      <c r="S81" s="59"/>
      <c r="T81" s="59"/>
      <c r="U81" s="59"/>
      <c r="V81" s="59"/>
      <c r="W81" s="59"/>
      <c r="X81" s="59"/>
      <c r="Y81" s="59"/>
      <c r="Z81" s="59"/>
    </row>
    <row r="82" spans="9:26" s="35" customFormat="1" ht="12.75">
      <c r="I82" s="59"/>
      <c r="J82" s="59"/>
      <c r="K82" s="59"/>
      <c r="L82" s="59"/>
      <c r="M82" s="59"/>
      <c r="N82" s="59"/>
      <c r="O82" s="59"/>
      <c r="P82" s="59"/>
      <c r="Q82" s="59"/>
      <c r="R82" s="59"/>
      <c r="S82" s="59"/>
      <c r="T82" s="59"/>
      <c r="U82" s="59"/>
      <c r="V82" s="59"/>
      <c r="W82" s="59"/>
      <c r="X82" s="59"/>
      <c r="Y82" s="59"/>
      <c r="Z82" s="59"/>
    </row>
    <row r="83" spans="9:26" s="35" customFormat="1" ht="12.75">
      <c r="I83" s="59"/>
      <c r="J83" s="59"/>
      <c r="K83" s="59"/>
      <c r="L83" s="59"/>
      <c r="M83" s="59"/>
      <c r="N83" s="59"/>
      <c r="O83" s="59"/>
      <c r="P83" s="59"/>
      <c r="Q83" s="59"/>
      <c r="R83" s="59"/>
      <c r="S83" s="59"/>
      <c r="T83" s="59"/>
      <c r="U83" s="59"/>
      <c r="V83" s="59"/>
      <c r="W83" s="59"/>
      <c r="X83" s="59"/>
      <c r="Y83" s="59"/>
      <c r="Z83" s="59"/>
    </row>
    <row r="84" spans="9:26" s="35" customFormat="1" ht="12.75">
      <c r="I84" s="59"/>
      <c r="J84" s="59"/>
      <c r="K84" s="59"/>
      <c r="L84" s="59"/>
      <c r="M84" s="59"/>
      <c r="N84" s="59"/>
      <c r="O84" s="59"/>
      <c r="P84" s="59"/>
      <c r="Q84" s="59"/>
      <c r="R84" s="59"/>
      <c r="S84" s="59"/>
      <c r="T84" s="59"/>
      <c r="U84" s="59"/>
      <c r="V84" s="59"/>
      <c r="W84" s="59"/>
      <c r="X84" s="59"/>
      <c r="Y84" s="59"/>
      <c r="Z84" s="59"/>
    </row>
    <row r="85" spans="9:26" s="35" customFormat="1" ht="12.75">
      <c r="I85" s="59"/>
      <c r="J85" s="59"/>
      <c r="K85" s="59"/>
      <c r="L85" s="59"/>
      <c r="M85" s="59"/>
      <c r="N85" s="59"/>
      <c r="O85" s="59"/>
      <c r="P85" s="59"/>
      <c r="Q85" s="59"/>
      <c r="R85" s="59"/>
      <c r="S85" s="59"/>
      <c r="T85" s="59"/>
      <c r="U85" s="59"/>
      <c r="V85" s="59"/>
      <c r="W85" s="59"/>
      <c r="X85" s="59"/>
      <c r="Y85" s="59"/>
      <c r="Z85" s="59"/>
    </row>
    <row r="86" spans="9:26" s="35" customFormat="1" ht="12.75">
      <c r="I86" s="59"/>
      <c r="J86" s="59"/>
      <c r="K86" s="59"/>
      <c r="L86" s="59"/>
      <c r="M86" s="59"/>
      <c r="N86" s="59"/>
      <c r="O86" s="59"/>
      <c r="P86" s="59"/>
      <c r="Q86" s="59"/>
      <c r="R86" s="59"/>
      <c r="S86" s="59"/>
      <c r="T86" s="59"/>
      <c r="U86" s="59"/>
      <c r="V86" s="59"/>
      <c r="W86" s="59"/>
      <c r="X86" s="59"/>
      <c r="Y86" s="59"/>
      <c r="Z86" s="59"/>
    </row>
    <row r="87" spans="9:26" s="35" customFormat="1" ht="12.75">
      <c r="I87" s="59"/>
      <c r="J87" s="59"/>
      <c r="K87" s="59"/>
      <c r="L87" s="59"/>
      <c r="M87" s="59"/>
      <c r="N87" s="59"/>
      <c r="O87" s="59"/>
      <c r="P87" s="59"/>
      <c r="Q87" s="59"/>
      <c r="R87" s="59"/>
      <c r="S87" s="59"/>
      <c r="T87" s="59"/>
      <c r="U87" s="59"/>
      <c r="V87" s="59"/>
      <c r="W87" s="59"/>
      <c r="X87" s="59"/>
      <c r="Y87" s="59"/>
      <c r="Z87" s="59"/>
    </row>
    <row r="88" spans="9:26" s="35" customFormat="1" ht="12.75">
      <c r="I88" s="59"/>
      <c r="J88" s="59"/>
      <c r="K88" s="59"/>
      <c r="L88" s="59"/>
      <c r="M88" s="59"/>
      <c r="N88" s="59"/>
      <c r="O88" s="59"/>
      <c r="P88" s="59"/>
      <c r="Q88" s="59"/>
      <c r="R88" s="59"/>
      <c r="S88" s="59"/>
      <c r="T88" s="59"/>
      <c r="U88" s="59"/>
      <c r="V88" s="59"/>
      <c r="W88" s="59"/>
      <c r="X88" s="59"/>
      <c r="Y88" s="59"/>
      <c r="Z88" s="59"/>
    </row>
    <row r="89" spans="9:26" s="35" customFormat="1" ht="12.75">
      <c r="I89" s="59"/>
      <c r="J89" s="59"/>
      <c r="K89" s="59"/>
      <c r="L89" s="59"/>
      <c r="M89" s="59"/>
      <c r="N89" s="59"/>
      <c r="O89" s="59"/>
      <c r="P89" s="59"/>
      <c r="Q89" s="59"/>
      <c r="R89" s="59"/>
      <c r="S89" s="59"/>
      <c r="T89" s="59"/>
      <c r="U89" s="59"/>
      <c r="V89" s="59"/>
      <c r="W89" s="59"/>
      <c r="X89" s="59"/>
      <c r="Y89" s="59"/>
      <c r="Z89" s="59"/>
    </row>
    <row r="90" spans="9:26" s="35" customFormat="1" ht="12.75">
      <c r="I90" s="59"/>
      <c r="J90" s="59"/>
      <c r="K90" s="59"/>
      <c r="L90" s="59"/>
      <c r="M90" s="59"/>
      <c r="N90" s="59"/>
      <c r="O90" s="59"/>
      <c r="P90" s="59"/>
      <c r="Q90" s="59"/>
      <c r="R90" s="59"/>
      <c r="S90" s="59"/>
      <c r="T90" s="59"/>
      <c r="U90" s="59"/>
      <c r="V90" s="59"/>
      <c r="W90" s="59"/>
      <c r="X90" s="59"/>
      <c r="Y90" s="59"/>
      <c r="Z90" s="59"/>
    </row>
    <row r="91" spans="9:26" s="35" customFormat="1" ht="12.75">
      <c r="I91" s="59"/>
      <c r="J91" s="59"/>
      <c r="K91" s="59"/>
      <c r="L91" s="59"/>
      <c r="M91" s="59"/>
      <c r="N91" s="59"/>
      <c r="O91" s="59"/>
      <c r="P91" s="59"/>
      <c r="Q91" s="59"/>
      <c r="R91" s="59"/>
      <c r="S91" s="59"/>
      <c r="T91" s="59"/>
      <c r="U91" s="59"/>
      <c r="V91" s="59"/>
      <c r="W91" s="59"/>
      <c r="X91" s="59"/>
      <c r="Y91" s="59"/>
      <c r="Z91" s="59"/>
    </row>
    <row r="92" spans="9:26" s="35" customFormat="1" ht="12.75">
      <c r="I92" s="59"/>
      <c r="J92" s="59"/>
      <c r="K92" s="59"/>
      <c r="L92" s="59"/>
      <c r="M92" s="59"/>
      <c r="N92" s="59"/>
      <c r="O92" s="59"/>
      <c r="P92" s="59"/>
      <c r="Q92" s="59"/>
      <c r="R92" s="59"/>
      <c r="S92" s="59"/>
      <c r="T92" s="59"/>
      <c r="U92" s="59"/>
      <c r="V92" s="59"/>
      <c r="W92" s="59"/>
      <c r="X92" s="59"/>
      <c r="Y92" s="59"/>
      <c r="Z92" s="59"/>
    </row>
    <row r="93" spans="9:26" s="35" customFormat="1" ht="12.75">
      <c r="I93" s="59"/>
      <c r="J93" s="59"/>
      <c r="K93" s="59"/>
      <c r="L93" s="59"/>
      <c r="M93" s="59"/>
      <c r="N93" s="59"/>
      <c r="O93" s="59"/>
      <c r="P93" s="59"/>
      <c r="Q93" s="59"/>
      <c r="R93" s="59"/>
      <c r="S93" s="59"/>
      <c r="T93" s="59"/>
      <c r="U93" s="59"/>
      <c r="V93" s="59"/>
      <c r="W93" s="59"/>
      <c r="X93" s="59"/>
      <c r="Y93" s="59"/>
      <c r="Z93" s="59"/>
    </row>
    <row r="94" spans="9:26" s="35" customFormat="1" ht="12.75">
      <c r="I94" s="59"/>
      <c r="J94" s="59"/>
      <c r="K94" s="59"/>
      <c r="L94" s="59"/>
      <c r="M94" s="59"/>
      <c r="N94" s="59"/>
      <c r="O94" s="59"/>
      <c r="P94" s="59"/>
      <c r="Q94" s="59"/>
      <c r="R94" s="59"/>
      <c r="S94" s="59"/>
      <c r="T94" s="59"/>
      <c r="U94" s="59"/>
      <c r="V94" s="59"/>
      <c r="W94" s="59"/>
      <c r="X94" s="59"/>
      <c r="Y94" s="59"/>
      <c r="Z94" s="59"/>
    </row>
    <row r="95" spans="9:26" s="35" customFormat="1" ht="12.75">
      <c r="I95" s="59"/>
      <c r="J95" s="59"/>
      <c r="K95" s="59"/>
      <c r="L95" s="59"/>
      <c r="M95" s="59"/>
      <c r="N95" s="59"/>
      <c r="O95" s="59"/>
      <c r="P95" s="59"/>
      <c r="Q95" s="59"/>
      <c r="R95" s="59"/>
      <c r="S95" s="59"/>
      <c r="T95" s="59"/>
      <c r="U95" s="59"/>
      <c r="V95" s="59"/>
      <c r="W95" s="59"/>
      <c r="X95" s="59"/>
      <c r="Y95" s="59"/>
      <c r="Z95" s="59"/>
    </row>
    <row r="96" spans="9:26" s="35" customFormat="1" ht="12.75">
      <c r="I96" s="59"/>
      <c r="J96" s="59"/>
      <c r="K96" s="59"/>
      <c r="L96" s="59"/>
      <c r="M96" s="59"/>
      <c r="N96" s="59"/>
      <c r="O96" s="59"/>
      <c r="P96" s="59"/>
      <c r="Q96" s="59"/>
      <c r="R96" s="59"/>
      <c r="S96" s="59"/>
      <c r="T96" s="59"/>
      <c r="U96" s="59"/>
      <c r="V96" s="59"/>
      <c r="W96" s="59"/>
      <c r="X96" s="59"/>
      <c r="Y96" s="59"/>
      <c r="Z96" s="59"/>
    </row>
    <row r="97" spans="9:26" s="35" customFormat="1" ht="12.75">
      <c r="I97" s="59"/>
      <c r="J97" s="59"/>
      <c r="K97" s="59"/>
      <c r="L97" s="59"/>
      <c r="M97" s="59"/>
      <c r="N97" s="59"/>
      <c r="O97" s="59"/>
      <c r="P97" s="59"/>
      <c r="Q97" s="59"/>
      <c r="R97" s="59"/>
      <c r="S97" s="59"/>
      <c r="T97" s="59"/>
      <c r="U97" s="59"/>
      <c r="V97" s="59"/>
      <c r="W97" s="59"/>
      <c r="X97" s="59"/>
      <c r="Y97" s="59"/>
      <c r="Z97" s="59"/>
    </row>
    <row r="98" spans="9:26" s="35" customFormat="1" ht="12.75">
      <c r="I98" s="59"/>
      <c r="J98" s="59"/>
      <c r="K98" s="59"/>
      <c r="L98" s="59"/>
      <c r="M98" s="59"/>
      <c r="N98" s="59"/>
      <c r="O98" s="59"/>
      <c r="P98" s="59"/>
      <c r="Q98" s="59"/>
      <c r="R98" s="59"/>
      <c r="S98" s="59"/>
      <c r="T98" s="59"/>
      <c r="U98" s="59"/>
      <c r="V98" s="59"/>
      <c r="W98" s="59"/>
      <c r="X98" s="59"/>
      <c r="Y98" s="59"/>
      <c r="Z98" s="59"/>
    </row>
    <row r="99" spans="9:26" s="35" customFormat="1" ht="12.75">
      <c r="I99" s="59"/>
      <c r="J99" s="59"/>
      <c r="K99" s="59"/>
      <c r="L99" s="59"/>
      <c r="M99" s="59"/>
      <c r="N99" s="59"/>
      <c r="O99" s="59"/>
      <c r="P99" s="59"/>
      <c r="Q99" s="59"/>
      <c r="R99" s="59"/>
      <c r="S99" s="59"/>
      <c r="T99" s="59"/>
      <c r="U99" s="59"/>
      <c r="V99" s="59"/>
      <c r="W99" s="59"/>
      <c r="X99" s="59"/>
      <c r="Y99" s="59"/>
      <c r="Z99" s="59"/>
    </row>
    <row r="100" spans="9:26" s="35" customFormat="1" ht="12.75">
      <c r="I100" s="59"/>
      <c r="J100" s="59"/>
      <c r="K100" s="59"/>
      <c r="L100" s="59"/>
      <c r="M100" s="59"/>
      <c r="N100" s="59"/>
      <c r="O100" s="59"/>
      <c r="P100" s="59"/>
      <c r="Q100" s="59"/>
      <c r="R100" s="59"/>
      <c r="S100" s="59"/>
      <c r="T100" s="59"/>
      <c r="U100" s="59"/>
      <c r="V100" s="59"/>
      <c r="W100" s="59"/>
      <c r="X100" s="59"/>
      <c r="Y100" s="59"/>
      <c r="Z100" s="59"/>
    </row>
    <row r="101" spans="9:26" s="35" customFormat="1" ht="12.75">
      <c r="I101" s="59"/>
      <c r="J101" s="59"/>
      <c r="K101" s="59"/>
      <c r="L101" s="59"/>
      <c r="M101" s="59"/>
      <c r="N101" s="59"/>
      <c r="O101" s="59"/>
      <c r="P101" s="59"/>
      <c r="Q101" s="59"/>
      <c r="R101" s="59"/>
      <c r="S101" s="59"/>
      <c r="T101" s="59"/>
      <c r="U101" s="59"/>
      <c r="V101" s="59"/>
      <c r="W101" s="59"/>
      <c r="X101" s="59"/>
      <c r="Y101" s="59"/>
      <c r="Z101" s="59"/>
    </row>
    <row r="102" spans="9:26" s="35" customFormat="1" ht="12.75">
      <c r="I102" s="59"/>
      <c r="J102" s="59"/>
      <c r="K102" s="59"/>
      <c r="L102" s="59"/>
      <c r="M102" s="59"/>
      <c r="N102" s="59"/>
      <c r="O102" s="59"/>
      <c r="P102" s="59"/>
      <c r="Q102" s="59"/>
      <c r="R102" s="59"/>
      <c r="S102" s="59"/>
      <c r="T102" s="59"/>
      <c r="U102" s="59"/>
      <c r="V102" s="59"/>
      <c r="W102" s="59"/>
      <c r="X102" s="59"/>
      <c r="Y102" s="59"/>
      <c r="Z102" s="59"/>
    </row>
    <row r="103" spans="9:26" s="35" customFormat="1" ht="12.75">
      <c r="I103" s="59"/>
      <c r="J103" s="59"/>
      <c r="K103" s="59"/>
      <c r="L103" s="59"/>
      <c r="M103" s="59"/>
      <c r="N103" s="59"/>
      <c r="O103" s="59"/>
      <c r="P103" s="59"/>
      <c r="Q103" s="59"/>
      <c r="R103" s="59"/>
      <c r="S103" s="59"/>
      <c r="T103" s="59"/>
      <c r="U103" s="59"/>
      <c r="V103" s="59"/>
      <c r="W103" s="59"/>
      <c r="X103" s="59"/>
      <c r="Y103" s="59"/>
      <c r="Z103" s="59"/>
    </row>
    <row r="104" spans="9:26" s="35" customFormat="1" ht="12.75">
      <c r="I104" s="59"/>
      <c r="J104" s="59"/>
      <c r="K104" s="59"/>
      <c r="L104" s="59"/>
      <c r="M104" s="59"/>
      <c r="N104" s="59"/>
      <c r="O104" s="59"/>
      <c r="P104" s="59"/>
      <c r="Q104" s="59"/>
      <c r="R104" s="59"/>
      <c r="S104" s="59"/>
      <c r="T104" s="59"/>
      <c r="U104" s="59"/>
      <c r="V104" s="59"/>
      <c r="W104" s="59"/>
      <c r="X104" s="59"/>
      <c r="Y104" s="59"/>
      <c r="Z104" s="59"/>
    </row>
    <row r="105" spans="9:26" s="35" customFormat="1" ht="12.75">
      <c r="I105" s="59"/>
      <c r="J105" s="59"/>
      <c r="K105" s="59"/>
      <c r="L105" s="59"/>
      <c r="M105" s="59"/>
      <c r="N105" s="59"/>
      <c r="O105" s="59"/>
      <c r="P105" s="59"/>
      <c r="Q105" s="59"/>
      <c r="R105" s="59"/>
      <c r="S105" s="59"/>
      <c r="T105" s="59"/>
      <c r="U105" s="59"/>
      <c r="V105" s="59"/>
      <c r="W105" s="59"/>
      <c r="X105" s="59"/>
      <c r="Y105" s="59"/>
      <c r="Z105" s="59"/>
    </row>
    <row r="106" spans="9:26" s="35" customFormat="1" ht="12.75">
      <c r="I106" s="59"/>
      <c r="J106" s="59"/>
      <c r="K106" s="59"/>
      <c r="L106" s="59"/>
      <c r="M106" s="59"/>
      <c r="N106" s="59"/>
      <c r="O106" s="59"/>
      <c r="P106" s="59"/>
      <c r="Q106" s="59"/>
      <c r="R106" s="59"/>
      <c r="S106" s="59"/>
      <c r="T106" s="59"/>
      <c r="U106" s="59"/>
      <c r="V106" s="59"/>
      <c r="W106" s="59"/>
      <c r="X106" s="59"/>
      <c r="Y106" s="59"/>
      <c r="Z106" s="59"/>
    </row>
    <row r="107" spans="9:26" s="35" customFormat="1" ht="12" customHeight="1">
      <c r="I107" s="59"/>
      <c r="J107" s="59"/>
      <c r="K107" s="59"/>
      <c r="L107" s="59"/>
      <c r="M107" s="59"/>
      <c r="N107" s="59"/>
      <c r="O107" s="59"/>
      <c r="P107" s="59"/>
      <c r="Q107" s="59"/>
      <c r="R107" s="59"/>
      <c r="S107" s="59"/>
      <c r="T107" s="59"/>
      <c r="U107" s="59"/>
      <c r="V107" s="59"/>
      <c r="W107" s="59"/>
      <c r="X107" s="59"/>
      <c r="Y107" s="59"/>
      <c r="Z107" s="59"/>
    </row>
    <row r="108" spans="9:26" s="35" customFormat="1" ht="20.25" customHeight="1">
      <c r="I108" s="59"/>
      <c r="J108" s="59"/>
      <c r="K108" s="59"/>
      <c r="L108" s="59"/>
      <c r="M108" s="59"/>
      <c r="N108" s="59"/>
      <c r="O108" s="59"/>
      <c r="P108" s="59"/>
      <c r="Q108" s="59"/>
      <c r="R108" s="59"/>
      <c r="S108" s="59"/>
      <c r="T108" s="59"/>
      <c r="U108" s="59"/>
      <c r="V108" s="59"/>
      <c r="W108" s="59"/>
      <c r="X108" s="59"/>
      <c r="Y108" s="59"/>
      <c r="Z108" s="59"/>
    </row>
    <row r="109" spans="9:26" s="35" customFormat="1" ht="20.25" customHeight="1">
      <c r="I109" s="59"/>
      <c r="J109" s="59"/>
      <c r="K109" s="59"/>
      <c r="L109" s="59"/>
      <c r="M109" s="59"/>
      <c r="N109" s="59"/>
      <c r="O109" s="59"/>
      <c r="P109" s="59"/>
      <c r="Q109" s="59"/>
      <c r="R109" s="59"/>
      <c r="S109" s="59"/>
      <c r="T109" s="59"/>
      <c r="U109" s="59"/>
      <c r="V109" s="59"/>
      <c r="W109" s="59"/>
      <c r="X109" s="59"/>
      <c r="Y109" s="59"/>
      <c r="Z109" s="59"/>
    </row>
    <row r="110" spans="9:26" s="35" customFormat="1" ht="12.75">
      <c r="I110" s="59"/>
      <c r="J110" s="59"/>
      <c r="K110" s="59"/>
      <c r="L110" s="59"/>
      <c r="M110" s="59"/>
      <c r="N110" s="59"/>
      <c r="O110" s="59"/>
      <c r="P110" s="59"/>
      <c r="Q110" s="59"/>
      <c r="R110" s="59"/>
      <c r="S110" s="59"/>
      <c r="T110" s="59"/>
      <c r="U110" s="59"/>
      <c r="V110" s="59"/>
      <c r="W110" s="59"/>
      <c r="X110" s="59"/>
      <c r="Y110" s="59"/>
      <c r="Z110" s="59"/>
    </row>
    <row r="111" spans="9:26" s="35" customFormat="1" ht="87" customHeight="1">
      <c r="I111" s="59"/>
      <c r="J111" s="59"/>
      <c r="K111" s="59"/>
      <c r="L111" s="59"/>
      <c r="M111" s="59"/>
      <c r="N111" s="59"/>
      <c r="O111" s="59"/>
      <c r="P111" s="59"/>
      <c r="Q111" s="59"/>
      <c r="R111" s="59"/>
      <c r="S111" s="59"/>
      <c r="T111" s="59"/>
      <c r="U111" s="59"/>
      <c r="V111" s="59"/>
      <c r="W111" s="59"/>
      <c r="X111" s="59"/>
      <c r="Y111" s="59"/>
      <c r="Z111" s="59"/>
    </row>
    <row r="112" spans="9:26" s="35" customFormat="1" ht="12.75">
      <c r="I112" s="59"/>
      <c r="J112" s="59"/>
      <c r="K112" s="59"/>
      <c r="L112" s="59"/>
      <c r="M112" s="59"/>
      <c r="N112" s="59"/>
      <c r="O112" s="59"/>
      <c r="P112" s="59"/>
      <c r="Q112" s="59"/>
      <c r="R112" s="59"/>
      <c r="S112" s="59"/>
      <c r="T112" s="59"/>
      <c r="U112" s="59"/>
      <c r="V112" s="59"/>
      <c r="W112" s="59"/>
      <c r="X112" s="59"/>
      <c r="Y112" s="59"/>
      <c r="Z112" s="59"/>
    </row>
    <row r="113" spans="9:26" s="35" customFormat="1" ht="12.75">
      <c r="I113" s="59"/>
      <c r="J113" s="59"/>
      <c r="K113" s="59"/>
      <c r="L113" s="59"/>
      <c r="M113" s="59"/>
      <c r="N113" s="59"/>
      <c r="O113" s="59"/>
      <c r="P113" s="59"/>
      <c r="Q113" s="59"/>
      <c r="R113" s="59"/>
      <c r="S113" s="59"/>
      <c r="T113" s="59"/>
      <c r="U113" s="59"/>
      <c r="V113" s="59"/>
      <c r="W113" s="59"/>
      <c r="X113" s="59"/>
      <c r="Y113" s="59"/>
      <c r="Z113" s="59"/>
    </row>
    <row r="114" spans="9:26" s="35" customFormat="1" ht="12.75">
      <c r="I114" s="59"/>
      <c r="J114" s="59"/>
      <c r="K114" s="59"/>
      <c r="L114" s="59"/>
      <c r="M114" s="59"/>
      <c r="N114" s="59"/>
      <c r="O114" s="59"/>
      <c r="P114" s="59"/>
      <c r="Q114" s="59"/>
      <c r="R114" s="59"/>
      <c r="S114" s="59"/>
      <c r="T114" s="59"/>
      <c r="U114" s="59"/>
      <c r="V114" s="59"/>
      <c r="W114" s="59"/>
      <c r="X114" s="59"/>
      <c r="Y114" s="59"/>
      <c r="Z114" s="59"/>
    </row>
    <row r="115" spans="9:26" s="35" customFormat="1" ht="12.75">
      <c r="I115" s="59"/>
      <c r="J115" s="59"/>
      <c r="K115" s="59"/>
      <c r="L115" s="59"/>
      <c r="M115" s="59"/>
      <c r="N115" s="59"/>
      <c r="O115" s="59"/>
      <c r="P115" s="59"/>
      <c r="Q115" s="59"/>
      <c r="R115" s="59"/>
      <c r="S115" s="59"/>
      <c r="T115" s="59"/>
      <c r="U115" s="59"/>
      <c r="V115" s="59"/>
      <c r="W115" s="59"/>
      <c r="X115" s="59"/>
      <c r="Y115" s="59"/>
      <c r="Z115" s="59"/>
    </row>
    <row r="116" spans="9:26" s="35" customFormat="1" ht="12.75">
      <c r="I116" s="59"/>
      <c r="J116" s="59"/>
      <c r="K116" s="59"/>
      <c r="L116" s="59"/>
      <c r="M116" s="59"/>
      <c r="N116" s="59"/>
      <c r="O116" s="59"/>
      <c r="P116" s="59"/>
      <c r="Q116" s="59"/>
      <c r="R116" s="59"/>
      <c r="S116" s="59"/>
      <c r="T116" s="59"/>
      <c r="U116" s="59"/>
      <c r="V116" s="59"/>
      <c r="W116" s="59"/>
      <c r="X116" s="59"/>
      <c r="Y116" s="59"/>
      <c r="Z116" s="59"/>
    </row>
    <row r="117" spans="9:26" s="35" customFormat="1" ht="12.75">
      <c r="I117" s="59"/>
      <c r="J117" s="59"/>
      <c r="K117" s="59"/>
      <c r="L117" s="59"/>
      <c r="M117" s="59"/>
      <c r="N117" s="59"/>
      <c r="O117" s="59"/>
      <c r="P117" s="59"/>
      <c r="Q117" s="59"/>
      <c r="R117" s="59"/>
      <c r="S117" s="59"/>
      <c r="T117" s="59"/>
      <c r="U117" s="59"/>
      <c r="V117" s="59"/>
      <c r="W117" s="59"/>
      <c r="X117" s="59"/>
      <c r="Y117" s="59"/>
      <c r="Z117" s="59"/>
    </row>
    <row r="118" spans="9:26" s="35" customFormat="1" ht="12.75">
      <c r="I118" s="59"/>
      <c r="J118" s="59"/>
      <c r="K118" s="59"/>
      <c r="L118" s="59"/>
      <c r="M118" s="59"/>
      <c r="N118" s="59"/>
      <c r="O118" s="59"/>
      <c r="P118" s="59"/>
      <c r="Q118" s="59"/>
      <c r="R118" s="59"/>
      <c r="S118" s="59"/>
      <c r="T118" s="59"/>
      <c r="U118" s="59"/>
      <c r="V118" s="59"/>
      <c r="W118" s="59"/>
      <c r="X118" s="59"/>
      <c r="Y118" s="59"/>
      <c r="Z118" s="59"/>
    </row>
    <row r="119" spans="9:26" s="35" customFormat="1" ht="12.75">
      <c r="I119" s="59"/>
      <c r="J119" s="59"/>
      <c r="K119" s="59"/>
      <c r="L119" s="59"/>
      <c r="M119" s="59"/>
      <c r="N119" s="59"/>
      <c r="O119" s="59"/>
      <c r="P119" s="59"/>
      <c r="Q119" s="59"/>
      <c r="R119" s="59"/>
      <c r="S119" s="59"/>
      <c r="T119" s="59"/>
      <c r="U119" s="59"/>
      <c r="V119" s="59"/>
      <c r="W119" s="59"/>
      <c r="X119" s="59"/>
      <c r="Y119" s="59"/>
      <c r="Z119" s="59"/>
    </row>
    <row r="120" spans="9:26" s="35" customFormat="1" ht="12.75">
      <c r="I120" s="59"/>
      <c r="J120" s="59"/>
      <c r="K120" s="59"/>
      <c r="L120" s="59"/>
      <c r="M120" s="59"/>
      <c r="N120" s="59"/>
      <c r="O120" s="59"/>
      <c r="P120" s="59"/>
      <c r="Q120" s="59"/>
      <c r="R120" s="59"/>
      <c r="S120" s="59"/>
      <c r="T120" s="59"/>
      <c r="U120" s="59"/>
      <c r="V120" s="59"/>
      <c r="W120" s="59"/>
      <c r="X120" s="59"/>
      <c r="Y120" s="59"/>
      <c r="Z120" s="59"/>
    </row>
    <row r="121" spans="9:26" s="35" customFormat="1" ht="12.75">
      <c r="I121" s="59"/>
      <c r="J121" s="59"/>
      <c r="K121" s="59"/>
      <c r="L121" s="59"/>
      <c r="M121" s="59"/>
      <c r="N121" s="59"/>
      <c r="O121" s="59"/>
      <c r="P121" s="59"/>
      <c r="Q121" s="59"/>
      <c r="R121" s="59"/>
      <c r="S121" s="59"/>
      <c r="T121" s="59"/>
      <c r="U121" s="59"/>
      <c r="V121" s="59"/>
      <c r="W121" s="59"/>
      <c r="X121" s="59"/>
      <c r="Y121" s="59"/>
      <c r="Z121" s="59"/>
    </row>
    <row r="122" spans="9:26" s="35" customFormat="1" ht="12.75">
      <c r="I122" s="59"/>
      <c r="J122" s="59"/>
      <c r="K122" s="59"/>
      <c r="L122" s="59"/>
      <c r="M122" s="59"/>
      <c r="N122" s="59"/>
      <c r="O122" s="59"/>
      <c r="P122" s="59"/>
      <c r="Q122" s="59"/>
      <c r="R122" s="59"/>
      <c r="S122" s="59"/>
      <c r="T122" s="59"/>
      <c r="U122" s="59"/>
      <c r="V122" s="59"/>
      <c r="W122" s="59"/>
      <c r="X122" s="59"/>
      <c r="Y122" s="59"/>
      <c r="Z122" s="59"/>
    </row>
  </sheetData>
  <sheetProtection password="C4F0" sheet="1" objects="1" scenarios="1"/>
  <mergeCells count="7">
    <mergeCell ref="A30:C30"/>
    <mergeCell ref="A26:D26"/>
    <mergeCell ref="A1:H1"/>
    <mergeCell ref="A2:H2"/>
    <mergeCell ref="A8:D8"/>
    <mergeCell ref="A10:D10"/>
    <mergeCell ref="A14:C14"/>
  </mergeCells>
  <dataValidations count="1">
    <dataValidation allowBlank="1" showInputMessage="1" showErrorMessage="1" prompt="DOE's sale tax figure will automatically appear in this box.  You can also enter your most recent estimate, if it differs from the department's figure." sqref="F26"/>
  </dataValidations>
  <hyperlinks>
    <hyperlink ref="A9" r:id="rId1" display="(See Attachment D, Chart of Accounts, for 2004-2005 ASRFIN)"/>
  </hyperlinks>
  <printOptions horizontalCentered="1"/>
  <pageMargins left="0.34" right="0.31" top="0.5" bottom="0.5" header="0.5" footer="0.5"/>
  <pageSetup horizontalDpi="600" verticalDpi="600" orientation="landscape" scale="75" r:id="rId4"/>
  <legacyDrawing r:id="rId3"/>
</worksheet>
</file>

<file path=xl/worksheets/sheet4.xml><?xml version="1.0" encoding="utf-8"?>
<worksheet xmlns="http://schemas.openxmlformats.org/spreadsheetml/2006/main" xmlns:r="http://schemas.openxmlformats.org/officeDocument/2006/relationships">
  <sheetPr codeName="Sheet14"/>
  <dimension ref="A1:Z121"/>
  <sheetViews>
    <sheetView zoomScale="70" zoomScaleNormal="70" workbookViewId="0" topLeftCell="A1">
      <pane ySplit="6" topLeftCell="BM7" activePane="bottomLeft" state="frozen"/>
      <selection pane="topLeft" activeCell="A7" sqref="A7"/>
      <selection pane="bottomLeft" activeCell="A7" sqref="A7"/>
    </sheetView>
  </sheetViews>
  <sheetFormatPr defaultColWidth="9.140625" defaultRowHeight="12.75"/>
  <cols>
    <col min="1" max="1" width="11.00390625" style="2" customWidth="1"/>
    <col min="2" max="2" width="32.8515625" style="2" customWidth="1"/>
    <col min="3" max="3" width="11.28125" style="2" customWidth="1"/>
    <col min="4" max="5" width="20.7109375" style="2" customWidth="1"/>
    <col min="6" max="6" width="22.28125" style="2" customWidth="1"/>
    <col min="7" max="7" width="2.57421875" style="2" customWidth="1"/>
    <col min="8" max="8" width="26.28125" style="2" customWidth="1"/>
    <col min="9" max="9" width="29.28125" style="58" customWidth="1"/>
    <col min="10" max="26" width="9.140625" style="58" customWidth="1"/>
    <col min="27" max="16384" width="9.140625" style="1" customWidth="1"/>
  </cols>
  <sheetData>
    <row r="1" spans="1:8" ht="25.5" customHeight="1">
      <c r="A1" s="208" t="s">
        <v>143</v>
      </c>
      <c r="B1" s="209"/>
      <c r="C1" s="209"/>
      <c r="D1" s="209"/>
      <c r="E1" s="209"/>
      <c r="F1" s="209"/>
      <c r="G1" s="209"/>
      <c r="H1" s="210"/>
    </row>
    <row r="2" spans="1:8" ht="18.75" thickBot="1">
      <c r="A2" s="211" t="s">
        <v>450</v>
      </c>
      <c r="B2" s="212"/>
      <c r="C2" s="212"/>
      <c r="D2" s="212"/>
      <c r="E2" s="212"/>
      <c r="F2" s="212"/>
      <c r="G2" s="212"/>
      <c r="H2" s="213"/>
    </row>
    <row r="3" spans="1:8" ht="15">
      <c r="A3" s="60"/>
      <c r="B3" s="61"/>
      <c r="C3" s="61"/>
      <c r="D3" s="61"/>
      <c r="E3" s="61"/>
      <c r="F3" s="61"/>
      <c r="G3" s="61"/>
      <c r="H3" s="62"/>
    </row>
    <row r="4" spans="1:8" ht="15.75">
      <c r="A4" s="63" t="s">
        <v>0</v>
      </c>
      <c r="B4" s="64" t="s">
        <v>1</v>
      </c>
      <c r="C4" s="61"/>
      <c r="D4" s="61"/>
      <c r="E4" s="61"/>
      <c r="F4" s="61"/>
      <c r="G4" s="61"/>
      <c r="H4" s="65"/>
    </row>
    <row r="5" spans="1:8" ht="21.75" customHeight="1">
      <c r="A5" s="106">
        <f>'Fiscal Year 2005 Worksheet'!A5</f>
        <v>0</v>
      </c>
      <c r="B5" s="107" t="e">
        <f>'Fiscal Year 2005 Worksheet'!B5</f>
        <v>#N/A</v>
      </c>
      <c r="C5" s="3"/>
      <c r="D5" s="61"/>
      <c r="E5" s="61"/>
      <c r="F5" s="61"/>
      <c r="G5" s="61"/>
      <c r="H5" s="65"/>
    </row>
    <row r="6" spans="1:8" ht="10.5" customHeight="1">
      <c r="A6" s="60"/>
      <c r="B6" s="61"/>
      <c r="C6" s="61"/>
      <c r="D6" s="61"/>
      <c r="E6" s="61"/>
      <c r="F6" s="61"/>
      <c r="G6" s="61"/>
      <c r="H6" s="65"/>
    </row>
    <row r="7" spans="1:8" ht="10.5" customHeight="1">
      <c r="A7" s="60"/>
      <c r="B7" s="61"/>
      <c r="C7" s="61"/>
      <c r="D7" s="61"/>
      <c r="E7" s="61"/>
      <c r="F7" s="61"/>
      <c r="G7" s="61"/>
      <c r="H7" s="65"/>
    </row>
    <row r="8" spans="1:10" ht="15" customHeight="1">
      <c r="A8" s="172" t="s">
        <v>446</v>
      </c>
      <c r="B8" s="193"/>
      <c r="C8" s="193"/>
      <c r="D8" s="193"/>
      <c r="E8" s="61"/>
      <c r="F8" s="112"/>
      <c r="G8" s="61"/>
      <c r="H8" s="67"/>
      <c r="I8" s="80"/>
      <c r="J8" s="80"/>
    </row>
    <row r="9" spans="1:10" ht="16.5" customHeight="1">
      <c r="A9" s="226" t="s">
        <v>637</v>
      </c>
      <c r="B9" s="214"/>
      <c r="C9" s="214"/>
      <c r="D9" s="214"/>
      <c r="E9" s="215"/>
      <c r="F9" s="61"/>
      <c r="G9" s="61"/>
      <c r="H9" s="67"/>
      <c r="I9" s="81"/>
      <c r="J9" s="82"/>
    </row>
    <row r="10" spans="1:10" ht="15">
      <c r="A10" s="200" t="s">
        <v>638</v>
      </c>
      <c r="B10" s="201"/>
      <c r="C10" s="201"/>
      <c r="D10" s="201"/>
      <c r="E10" s="94"/>
      <c r="F10" s="36"/>
      <c r="G10" s="61"/>
      <c r="H10" s="67"/>
      <c r="I10" s="80"/>
      <c r="J10" s="80"/>
    </row>
    <row r="11" spans="1:10" ht="6.75" customHeight="1" thickBot="1">
      <c r="A11" s="95"/>
      <c r="B11" s="96"/>
      <c r="C11" s="96"/>
      <c r="D11" s="96"/>
      <c r="E11" s="94"/>
      <c r="F11" s="99"/>
      <c r="G11" s="61"/>
      <c r="H11" s="67"/>
      <c r="I11" s="80"/>
      <c r="J11" s="80"/>
    </row>
    <row r="12" spans="1:10" ht="16.5" thickBot="1">
      <c r="A12" s="93" t="s">
        <v>441</v>
      </c>
      <c r="B12" s="70"/>
      <c r="C12" s="96"/>
      <c r="D12" s="96"/>
      <c r="E12" s="94"/>
      <c r="G12" s="61"/>
      <c r="H12" s="110">
        <f>SUM(F8-F10)</f>
        <v>0</v>
      </c>
      <c r="I12" s="80"/>
      <c r="J12" s="80"/>
    </row>
    <row r="13" spans="1:10" ht="21.75" customHeight="1">
      <c r="A13" s="60"/>
      <c r="B13" s="61"/>
      <c r="C13" s="61"/>
      <c r="D13" s="61"/>
      <c r="E13" s="61"/>
      <c r="F13" s="61"/>
      <c r="G13" s="61"/>
      <c r="H13" s="67"/>
      <c r="I13" s="80"/>
      <c r="J13" s="80"/>
    </row>
    <row r="14" spans="1:10" ht="15">
      <c r="A14" s="172" t="s">
        <v>444</v>
      </c>
      <c r="B14" s="193"/>
      <c r="C14" s="193"/>
      <c r="D14" s="61"/>
      <c r="E14" s="68"/>
      <c r="F14" s="36"/>
      <c r="G14" s="61"/>
      <c r="H14" s="85"/>
      <c r="I14" s="80"/>
      <c r="J14" s="80"/>
    </row>
    <row r="15" spans="1:10" ht="6.75" customHeight="1">
      <c r="A15" s="60"/>
      <c r="B15" s="68"/>
      <c r="C15" s="68"/>
      <c r="D15" s="68"/>
      <c r="E15" s="68"/>
      <c r="F15" s="33"/>
      <c r="G15" s="61"/>
      <c r="H15" s="69"/>
      <c r="I15" s="80"/>
      <c r="J15" s="80"/>
    </row>
    <row r="16" spans="1:10" ht="15">
      <c r="A16" s="101" t="s">
        <v>2</v>
      </c>
      <c r="B16" s="61"/>
      <c r="C16" s="61"/>
      <c r="D16" s="61"/>
      <c r="E16" s="61"/>
      <c r="F16" s="37"/>
      <c r="G16" s="61"/>
      <c r="H16" s="69"/>
      <c r="I16" s="80"/>
      <c r="J16" s="80"/>
    </row>
    <row r="17" spans="1:10" ht="6.75" customHeight="1">
      <c r="A17" s="102"/>
      <c r="B17" s="61"/>
      <c r="C17" s="61"/>
      <c r="D17" s="61"/>
      <c r="E17" s="61"/>
      <c r="F17" s="68"/>
      <c r="G17" s="61"/>
      <c r="H17" s="69"/>
      <c r="I17" s="80"/>
      <c r="J17" s="80"/>
    </row>
    <row r="18" spans="1:10" ht="15">
      <c r="A18" s="101" t="s">
        <v>3</v>
      </c>
      <c r="B18" s="61"/>
      <c r="C18" s="61"/>
      <c r="D18" s="61"/>
      <c r="E18" s="61"/>
      <c r="F18" s="36"/>
      <c r="G18" s="61"/>
      <c r="H18" s="69"/>
      <c r="I18" s="80"/>
      <c r="J18" s="80"/>
    </row>
    <row r="19" spans="1:10" ht="6.75" customHeight="1">
      <c r="A19" s="102"/>
      <c r="B19" s="61"/>
      <c r="C19" s="61"/>
      <c r="D19" s="61"/>
      <c r="E19" s="61"/>
      <c r="F19" s="68"/>
      <c r="G19" s="61"/>
      <c r="H19" s="69"/>
      <c r="I19" s="80"/>
      <c r="J19" s="80"/>
    </row>
    <row r="20" spans="1:10" ht="15">
      <c r="A20" s="101" t="s">
        <v>616</v>
      </c>
      <c r="B20" s="61"/>
      <c r="C20" s="61"/>
      <c r="D20" s="61"/>
      <c r="E20" s="61"/>
      <c r="F20" s="36"/>
      <c r="G20" s="61"/>
      <c r="H20" s="69"/>
      <c r="I20" s="80"/>
      <c r="J20" s="80"/>
    </row>
    <row r="21" spans="1:10" ht="6.75" customHeight="1">
      <c r="A21" s="60"/>
      <c r="B21" s="61"/>
      <c r="C21" s="61"/>
      <c r="D21" s="61"/>
      <c r="E21" s="61"/>
      <c r="F21" s="68"/>
      <c r="G21" s="61"/>
      <c r="H21" s="69"/>
      <c r="I21" s="81"/>
      <c r="J21" s="82"/>
    </row>
    <row r="22" spans="1:10" ht="15">
      <c r="A22" s="93" t="s">
        <v>4</v>
      </c>
      <c r="B22" s="61"/>
      <c r="C22" s="61"/>
      <c r="D22" s="61"/>
      <c r="E22" s="61"/>
      <c r="F22" s="6">
        <f>F14+F16-F18-F20</f>
        <v>0</v>
      </c>
      <c r="G22" s="61"/>
      <c r="H22" s="69"/>
      <c r="I22" s="80"/>
      <c r="J22" s="80"/>
    </row>
    <row r="23" spans="1:10" ht="6.75" customHeight="1">
      <c r="A23" s="60"/>
      <c r="B23" s="61"/>
      <c r="C23" s="61"/>
      <c r="D23" s="61"/>
      <c r="E23" s="68"/>
      <c r="F23" s="61"/>
      <c r="G23" s="61"/>
      <c r="H23" s="67"/>
      <c r="I23" s="80"/>
      <c r="J23" s="80"/>
    </row>
    <row r="24" spans="1:10" ht="15.75">
      <c r="A24" s="103" t="s">
        <v>5</v>
      </c>
      <c r="B24" s="70"/>
      <c r="C24" s="61"/>
      <c r="D24" s="61"/>
      <c r="E24" s="68"/>
      <c r="F24" s="61"/>
      <c r="G24" s="61"/>
      <c r="H24" s="78" t="e">
        <f>(ROUND(F22/$F$50,0))</f>
        <v>#DIV/0!</v>
      </c>
      <c r="I24" s="80"/>
      <c r="J24" s="80"/>
    </row>
    <row r="25" spans="1:10" ht="21.75" customHeight="1">
      <c r="A25" s="60"/>
      <c r="B25" s="61"/>
      <c r="C25" s="61"/>
      <c r="D25" s="61"/>
      <c r="E25" s="68"/>
      <c r="F25" s="61"/>
      <c r="G25" s="61"/>
      <c r="H25" s="65"/>
      <c r="I25" s="81"/>
      <c r="J25" s="82"/>
    </row>
    <row r="26" spans="1:10" ht="15">
      <c r="A26" s="172" t="s">
        <v>639</v>
      </c>
      <c r="B26" s="193"/>
      <c r="C26" s="193"/>
      <c r="D26" s="193"/>
      <c r="E26" s="98"/>
      <c r="F26" s="38" t="e">
        <f>VLOOKUP($A$5,'Source Data'!A2:T137,20,FALSE)</f>
        <v>#N/A</v>
      </c>
      <c r="G26" s="61"/>
      <c r="H26" s="65"/>
      <c r="I26" s="80"/>
      <c r="J26" s="80"/>
    </row>
    <row r="27" spans="1:10" ht="6.75" customHeight="1">
      <c r="A27" s="60"/>
      <c r="B27" s="61"/>
      <c r="C27" s="61"/>
      <c r="D27" s="61"/>
      <c r="E27" s="68"/>
      <c r="F27" s="61"/>
      <c r="G27" s="61"/>
      <c r="H27" s="65"/>
      <c r="I27" s="80"/>
      <c r="J27" s="80"/>
    </row>
    <row r="28" spans="1:10" ht="15.75">
      <c r="A28" s="103" t="s">
        <v>6</v>
      </c>
      <c r="B28" s="70"/>
      <c r="C28" s="61"/>
      <c r="D28" s="61"/>
      <c r="E28" s="68"/>
      <c r="F28" s="61"/>
      <c r="G28" s="61"/>
      <c r="H28" s="78" t="e">
        <f>(ROUND(F26/$F$50,0))</f>
        <v>#N/A</v>
      </c>
      <c r="I28" s="80"/>
      <c r="J28" s="80"/>
    </row>
    <row r="29" spans="1:10" ht="21.75" customHeight="1">
      <c r="A29" s="60"/>
      <c r="B29" s="61"/>
      <c r="C29" s="61"/>
      <c r="D29" s="61"/>
      <c r="E29" s="68"/>
      <c r="F29" s="61"/>
      <c r="G29" s="61"/>
      <c r="H29" s="65"/>
      <c r="I29" s="80"/>
      <c r="J29" s="80"/>
    </row>
    <row r="30" spans="1:10" ht="15">
      <c r="A30" s="172" t="s">
        <v>445</v>
      </c>
      <c r="B30" s="193"/>
      <c r="C30" s="193"/>
      <c r="D30" s="61"/>
      <c r="E30" s="68"/>
      <c r="F30" s="36"/>
      <c r="G30" s="61"/>
      <c r="H30" s="65"/>
      <c r="I30" s="80"/>
      <c r="J30" s="80"/>
    </row>
    <row r="31" spans="1:10" ht="6.75" customHeight="1">
      <c r="A31" s="71"/>
      <c r="B31" s="72"/>
      <c r="C31" s="72"/>
      <c r="D31" s="72"/>
      <c r="E31" s="72"/>
      <c r="F31" s="68"/>
      <c r="G31" s="72"/>
      <c r="H31" s="73"/>
      <c r="I31" s="80"/>
      <c r="J31" s="80"/>
    </row>
    <row r="32" spans="1:10" ht="15">
      <c r="A32" s="101" t="s">
        <v>7</v>
      </c>
      <c r="B32" s="61"/>
      <c r="C32" s="72"/>
      <c r="D32" s="72"/>
      <c r="E32" s="72"/>
      <c r="F32" s="37"/>
      <c r="G32" s="72"/>
      <c r="H32" s="73"/>
      <c r="I32" s="80"/>
      <c r="J32" s="80"/>
    </row>
    <row r="33" spans="1:10" ht="6.75" customHeight="1">
      <c r="A33" s="101"/>
      <c r="B33" s="61"/>
      <c r="C33" s="72"/>
      <c r="D33" s="72"/>
      <c r="E33" s="72"/>
      <c r="F33" s="68"/>
      <c r="G33" s="72"/>
      <c r="H33" s="73"/>
      <c r="I33" s="80"/>
      <c r="J33" s="80"/>
    </row>
    <row r="34" spans="1:10" ht="15">
      <c r="A34" s="101" t="s">
        <v>8</v>
      </c>
      <c r="B34" s="61"/>
      <c r="C34" s="72"/>
      <c r="D34" s="72"/>
      <c r="E34" s="72"/>
      <c r="F34" s="36"/>
      <c r="G34" s="72"/>
      <c r="H34" s="73"/>
      <c r="I34" s="80"/>
      <c r="J34" s="80"/>
    </row>
    <row r="35" spans="1:10" ht="6.75" customHeight="1">
      <c r="A35" s="101"/>
      <c r="B35" s="61"/>
      <c r="C35" s="72"/>
      <c r="D35" s="72"/>
      <c r="E35" s="72"/>
      <c r="F35" s="68"/>
      <c r="G35" s="72"/>
      <c r="H35" s="73"/>
      <c r="I35" s="80"/>
      <c r="J35" s="80"/>
    </row>
    <row r="36" spans="1:10" ht="15">
      <c r="A36" s="101" t="s">
        <v>617</v>
      </c>
      <c r="B36" s="61"/>
      <c r="C36" s="72"/>
      <c r="D36" s="72"/>
      <c r="E36" s="72"/>
      <c r="F36" s="36"/>
      <c r="G36" s="72"/>
      <c r="H36" s="73"/>
      <c r="I36" s="80"/>
      <c r="J36" s="80"/>
    </row>
    <row r="37" spans="1:10" ht="6.75" customHeight="1">
      <c r="A37" s="60"/>
      <c r="B37" s="61"/>
      <c r="C37" s="72"/>
      <c r="D37" s="72"/>
      <c r="E37" s="72"/>
      <c r="F37" s="72"/>
      <c r="G37" s="72"/>
      <c r="H37" s="73"/>
      <c r="I37" s="81"/>
      <c r="J37" s="82"/>
    </row>
    <row r="38" spans="1:10" ht="15">
      <c r="A38" s="93" t="s">
        <v>443</v>
      </c>
      <c r="B38" s="61"/>
      <c r="C38" s="72"/>
      <c r="D38" s="72"/>
      <c r="E38" s="72"/>
      <c r="F38" s="6">
        <f>F30+F32-F34-F36</f>
        <v>0</v>
      </c>
      <c r="G38" s="72"/>
      <c r="H38" s="73"/>
      <c r="I38" s="80"/>
      <c r="J38" s="80"/>
    </row>
    <row r="39" spans="1:10" ht="6.75" customHeight="1">
      <c r="A39" s="60"/>
      <c r="B39" s="61"/>
      <c r="C39" s="72"/>
      <c r="D39" s="72"/>
      <c r="E39" s="72"/>
      <c r="F39" s="72"/>
      <c r="G39" s="72"/>
      <c r="H39" s="73"/>
      <c r="I39" s="80"/>
      <c r="J39" s="80"/>
    </row>
    <row r="40" spans="1:10" ht="15.75">
      <c r="A40" s="103" t="s">
        <v>442</v>
      </c>
      <c r="B40" s="70"/>
      <c r="C40" s="72"/>
      <c r="D40" s="72"/>
      <c r="E40" s="72"/>
      <c r="F40" s="72"/>
      <c r="G40" s="72"/>
      <c r="H40" s="78" t="e">
        <f>(ROUND(F38/$F$50,0))</f>
        <v>#DIV/0!</v>
      </c>
      <c r="I40" s="80"/>
      <c r="J40" s="80"/>
    </row>
    <row r="41" spans="1:10" ht="21.75" customHeight="1">
      <c r="A41" s="71"/>
      <c r="B41" s="72"/>
      <c r="C41" s="72"/>
      <c r="D41" s="72"/>
      <c r="E41" s="72"/>
      <c r="F41" s="72"/>
      <c r="G41" s="72"/>
      <c r="H41" s="73"/>
      <c r="I41" s="81"/>
      <c r="J41" s="82"/>
    </row>
    <row r="42" spans="1:10" ht="15">
      <c r="A42" s="60" t="s">
        <v>287</v>
      </c>
      <c r="B42" s="72"/>
      <c r="C42" s="72"/>
      <c r="D42" s="72"/>
      <c r="E42" s="72"/>
      <c r="F42" s="6" t="e">
        <f>H12-F22-F26-F38</f>
        <v>#N/A</v>
      </c>
      <c r="G42" s="72"/>
      <c r="H42" s="73"/>
      <c r="I42" s="80"/>
      <c r="J42" s="80"/>
    </row>
    <row r="43" spans="1:10" ht="6.75" customHeight="1">
      <c r="A43" s="71"/>
      <c r="B43" s="72"/>
      <c r="C43" s="72"/>
      <c r="D43" s="72"/>
      <c r="E43" s="72"/>
      <c r="F43" s="72"/>
      <c r="G43" s="72"/>
      <c r="H43" s="73"/>
      <c r="I43" s="80"/>
      <c r="J43" s="80"/>
    </row>
    <row r="44" spans="1:10" ht="15.75">
      <c r="A44" s="103" t="s">
        <v>144</v>
      </c>
      <c r="B44" s="70"/>
      <c r="C44" s="72"/>
      <c r="D44" s="72"/>
      <c r="E44" s="72"/>
      <c r="F44" s="72"/>
      <c r="G44" s="72"/>
      <c r="H44" s="78" t="e">
        <f>(ROUND(F42/$F$50,0))</f>
        <v>#N/A</v>
      </c>
      <c r="I44" s="80"/>
      <c r="J44" s="80"/>
    </row>
    <row r="45" spans="1:10" ht="21.75" customHeight="1">
      <c r="A45" s="71"/>
      <c r="B45" s="72"/>
      <c r="C45" s="72"/>
      <c r="D45" s="72"/>
      <c r="E45" s="72"/>
      <c r="F45" s="72"/>
      <c r="G45" s="72"/>
      <c r="H45" s="73"/>
      <c r="I45" s="81"/>
      <c r="J45" s="82"/>
    </row>
    <row r="46" spans="1:10" ht="15">
      <c r="A46" s="60" t="s">
        <v>9</v>
      </c>
      <c r="B46" s="72"/>
      <c r="C46" s="72"/>
      <c r="D46" s="72"/>
      <c r="E46" s="72"/>
      <c r="F46" s="104">
        <f>H12</f>
        <v>0</v>
      </c>
      <c r="G46" s="72"/>
      <c r="H46" s="73"/>
      <c r="I46" s="80"/>
      <c r="J46" s="80"/>
    </row>
    <row r="47" spans="1:10" ht="6.75" customHeight="1">
      <c r="A47" s="71"/>
      <c r="B47" s="72"/>
      <c r="C47" s="72"/>
      <c r="D47" s="72"/>
      <c r="E47" s="72"/>
      <c r="F47" s="72"/>
      <c r="G47" s="72"/>
      <c r="H47" s="73"/>
      <c r="I47" s="80"/>
      <c r="J47" s="80"/>
    </row>
    <row r="48" spans="1:10" ht="15.75">
      <c r="A48" s="103" t="s">
        <v>10</v>
      </c>
      <c r="B48" s="70"/>
      <c r="C48" s="72"/>
      <c r="D48" s="72"/>
      <c r="E48" s="72"/>
      <c r="F48" s="72"/>
      <c r="G48" s="72"/>
      <c r="H48" s="78" t="e">
        <f>(ROUND(F46/$F$50,0))</f>
        <v>#DIV/0!</v>
      </c>
      <c r="I48" s="80"/>
      <c r="J48" s="80"/>
    </row>
    <row r="49" spans="1:10" ht="21.75" customHeight="1">
      <c r="A49" s="71"/>
      <c r="B49" s="72"/>
      <c r="C49" s="72"/>
      <c r="D49" s="72"/>
      <c r="E49" s="72"/>
      <c r="F49" s="72"/>
      <c r="G49" s="72"/>
      <c r="H49" s="73"/>
      <c r="I49" s="80"/>
      <c r="J49" s="80"/>
    </row>
    <row r="50" spans="1:10" ht="15.75">
      <c r="A50" s="74" t="s">
        <v>288</v>
      </c>
      <c r="B50" s="72"/>
      <c r="C50" s="72"/>
      <c r="D50" s="72"/>
      <c r="E50" s="72"/>
      <c r="F50" s="4"/>
      <c r="G50" s="72"/>
      <c r="H50" s="65"/>
      <c r="I50" s="80"/>
      <c r="J50" s="80"/>
    </row>
    <row r="51" spans="1:10" ht="15.75" thickBot="1">
      <c r="A51" s="75"/>
      <c r="B51" s="76"/>
      <c r="C51" s="76"/>
      <c r="D51" s="76"/>
      <c r="E51" s="76"/>
      <c r="F51" s="76"/>
      <c r="G51" s="76"/>
      <c r="H51" s="77"/>
      <c r="I51" s="80"/>
      <c r="J51" s="80"/>
    </row>
    <row r="52" spans="1:8" ht="15">
      <c r="A52" s="59"/>
      <c r="B52" s="59"/>
      <c r="C52" s="59"/>
      <c r="D52" s="59"/>
      <c r="E52" s="59"/>
      <c r="F52" s="59"/>
      <c r="G52" s="59"/>
      <c r="H52" s="59"/>
    </row>
    <row r="53" spans="1:8" ht="15">
      <c r="A53" s="59"/>
      <c r="B53" s="59"/>
      <c r="C53" s="59"/>
      <c r="D53" s="59"/>
      <c r="E53" s="59"/>
      <c r="F53" s="59"/>
      <c r="G53" s="59"/>
      <c r="H53" s="59"/>
    </row>
    <row r="54" spans="1:8" ht="15">
      <c r="A54" s="59"/>
      <c r="B54" s="59"/>
      <c r="C54" s="59"/>
      <c r="D54" s="59"/>
      <c r="E54" s="59"/>
      <c r="F54" s="59"/>
      <c r="G54" s="59"/>
      <c r="H54" s="59"/>
    </row>
    <row r="55" spans="1:8" ht="15">
      <c r="A55" s="59"/>
      <c r="B55" s="59"/>
      <c r="C55" s="59"/>
      <c r="D55" s="59"/>
      <c r="E55" s="59"/>
      <c r="F55" s="59"/>
      <c r="G55" s="59"/>
      <c r="H55" s="59"/>
    </row>
    <row r="56" spans="1:8" ht="15">
      <c r="A56" s="59"/>
      <c r="B56" s="59"/>
      <c r="C56" s="59"/>
      <c r="D56" s="59"/>
      <c r="E56" s="59"/>
      <c r="F56" s="59"/>
      <c r="G56" s="59"/>
      <c r="H56" s="59"/>
    </row>
    <row r="57" spans="1:8" ht="15">
      <c r="A57" s="59"/>
      <c r="B57" s="59"/>
      <c r="C57" s="59"/>
      <c r="D57" s="59"/>
      <c r="E57" s="59"/>
      <c r="F57" s="59"/>
      <c r="G57" s="59"/>
      <c r="H57" s="59"/>
    </row>
    <row r="58" spans="1:8" ht="15">
      <c r="A58" s="59"/>
      <c r="B58" s="59"/>
      <c r="C58" s="59"/>
      <c r="D58" s="59"/>
      <c r="E58" s="59"/>
      <c r="F58" s="59"/>
      <c r="G58" s="59"/>
      <c r="H58" s="59"/>
    </row>
    <row r="59" spans="1:8" ht="15">
      <c r="A59" s="59"/>
      <c r="B59" s="59"/>
      <c r="C59" s="59"/>
      <c r="D59" s="59"/>
      <c r="E59" s="59"/>
      <c r="F59" s="59"/>
      <c r="G59" s="59"/>
      <c r="H59" s="59"/>
    </row>
    <row r="60" spans="1:8" ht="15">
      <c r="A60" s="59"/>
      <c r="B60" s="59"/>
      <c r="C60" s="59"/>
      <c r="D60" s="59"/>
      <c r="E60" s="59"/>
      <c r="F60" s="59"/>
      <c r="G60" s="59"/>
      <c r="H60" s="59"/>
    </row>
    <row r="61" spans="1:8" ht="15">
      <c r="A61" s="59"/>
      <c r="B61" s="59"/>
      <c r="C61" s="59"/>
      <c r="D61" s="59"/>
      <c r="E61" s="59"/>
      <c r="F61" s="59"/>
      <c r="G61" s="59"/>
      <c r="H61" s="59"/>
    </row>
    <row r="62" spans="1:8" ht="15">
      <c r="A62" s="59"/>
      <c r="B62" s="59"/>
      <c r="C62" s="59"/>
      <c r="D62" s="59"/>
      <c r="E62" s="59"/>
      <c r="F62" s="59"/>
      <c r="G62" s="59"/>
      <c r="H62" s="59"/>
    </row>
    <row r="63" spans="1:8" ht="15">
      <c r="A63" s="59"/>
      <c r="B63" s="59"/>
      <c r="C63" s="59"/>
      <c r="D63" s="59"/>
      <c r="E63" s="59"/>
      <c r="F63" s="59"/>
      <c r="G63" s="59"/>
      <c r="H63" s="59"/>
    </row>
    <row r="64" spans="1:8" ht="15">
      <c r="A64" s="59"/>
      <c r="B64" s="59"/>
      <c r="C64" s="59"/>
      <c r="D64" s="59"/>
      <c r="E64" s="59"/>
      <c r="F64" s="59"/>
      <c r="G64" s="59"/>
      <c r="H64" s="59"/>
    </row>
    <row r="65" spans="1:8" s="58" customFormat="1" ht="15">
      <c r="A65" s="59"/>
      <c r="B65" s="59"/>
      <c r="C65" s="59"/>
      <c r="D65" s="59"/>
      <c r="E65" s="59"/>
      <c r="F65" s="59"/>
      <c r="G65" s="59"/>
      <c r="H65" s="59"/>
    </row>
    <row r="66" spans="1:8" s="58" customFormat="1" ht="15">
      <c r="A66" s="59"/>
      <c r="B66" s="59"/>
      <c r="C66" s="59"/>
      <c r="D66" s="59"/>
      <c r="E66" s="59"/>
      <c r="F66" s="59"/>
      <c r="G66" s="59"/>
      <c r="H66" s="59"/>
    </row>
    <row r="67" spans="1:8" s="58" customFormat="1" ht="15">
      <c r="A67" s="59"/>
      <c r="B67" s="59"/>
      <c r="C67" s="59"/>
      <c r="D67" s="59"/>
      <c r="E67" s="59"/>
      <c r="F67" s="59"/>
      <c r="G67" s="59"/>
      <c r="H67" s="59"/>
    </row>
    <row r="68" spans="1:8" s="58" customFormat="1" ht="15">
      <c r="A68" s="59"/>
      <c r="B68" s="59"/>
      <c r="C68" s="59"/>
      <c r="D68" s="59"/>
      <c r="E68" s="59"/>
      <c r="F68" s="59"/>
      <c r="G68" s="59"/>
      <c r="H68" s="59"/>
    </row>
    <row r="69" spans="1:8" s="58" customFormat="1" ht="52.5" customHeight="1">
      <c r="A69" s="59"/>
      <c r="B69" s="59"/>
      <c r="C69" s="59"/>
      <c r="D69" s="59"/>
      <c r="E69" s="59"/>
      <c r="F69" s="59"/>
      <c r="G69" s="59"/>
      <c r="H69" s="59"/>
    </row>
    <row r="70" spans="1:8" s="58" customFormat="1" ht="15">
      <c r="A70" s="59"/>
      <c r="B70" s="59"/>
      <c r="C70" s="59"/>
      <c r="D70" s="59"/>
      <c r="E70" s="59"/>
      <c r="F70" s="59"/>
      <c r="G70" s="59"/>
      <c r="H70" s="59"/>
    </row>
    <row r="71" spans="1:8" s="58" customFormat="1" ht="31.5" customHeight="1">
      <c r="A71" s="59"/>
      <c r="B71" s="59"/>
      <c r="C71" s="59"/>
      <c r="D71" s="59"/>
      <c r="E71" s="59"/>
      <c r="F71" s="59"/>
      <c r="G71" s="59"/>
      <c r="H71" s="59"/>
    </row>
    <row r="72" spans="1:8" s="58" customFormat="1" ht="15">
      <c r="A72" s="59"/>
      <c r="B72" s="59"/>
      <c r="C72" s="59"/>
      <c r="D72" s="59"/>
      <c r="E72" s="59"/>
      <c r="F72" s="59"/>
      <c r="G72" s="59"/>
      <c r="H72" s="59"/>
    </row>
    <row r="73" spans="1:8" s="58" customFormat="1" ht="15">
      <c r="A73" s="59"/>
      <c r="B73" s="59"/>
      <c r="C73" s="59"/>
      <c r="D73" s="59"/>
      <c r="E73" s="59"/>
      <c r="F73" s="59"/>
      <c r="G73" s="59"/>
      <c r="H73" s="59"/>
    </row>
    <row r="74" spans="1:8" s="58" customFormat="1" ht="15">
      <c r="A74" s="59"/>
      <c r="B74" s="59"/>
      <c r="C74" s="59"/>
      <c r="D74" s="59"/>
      <c r="E74" s="59"/>
      <c r="F74" s="59"/>
      <c r="G74" s="59"/>
      <c r="H74" s="59"/>
    </row>
    <row r="75" spans="1:8" s="58" customFormat="1" ht="15">
      <c r="A75" s="59"/>
      <c r="B75" s="59"/>
      <c r="C75" s="59"/>
      <c r="D75" s="59"/>
      <c r="E75" s="59"/>
      <c r="F75" s="59"/>
      <c r="G75" s="59"/>
      <c r="H75" s="59"/>
    </row>
    <row r="78" spans="9:26" s="35" customFormat="1" ht="12.75">
      <c r="I78" s="59"/>
      <c r="J78" s="59"/>
      <c r="K78" s="59"/>
      <c r="L78" s="59"/>
      <c r="M78" s="59"/>
      <c r="N78" s="59"/>
      <c r="O78" s="59"/>
      <c r="P78" s="59"/>
      <c r="Q78" s="59"/>
      <c r="R78" s="59"/>
      <c r="S78" s="59"/>
      <c r="T78" s="59"/>
      <c r="U78" s="59"/>
      <c r="V78" s="59"/>
      <c r="W78" s="59"/>
      <c r="X78" s="59"/>
      <c r="Y78" s="59"/>
      <c r="Z78" s="59"/>
    </row>
    <row r="79" spans="9:26" s="35" customFormat="1" ht="12.75">
      <c r="I79" s="59"/>
      <c r="J79" s="59"/>
      <c r="K79" s="59"/>
      <c r="L79" s="59"/>
      <c r="M79" s="59"/>
      <c r="N79" s="59"/>
      <c r="O79" s="59"/>
      <c r="P79" s="59"/>
      <c r="Q79" s="59"/>
      <c r="R79" s="59"/>
      <c r="S79" s="59"/>
      <c r="T79" s="59"/>
      <c r="U79" s="59"/>
      <c r="V79" s="59"/>
      <c r="W79" s="59"/>
      <c r="X79" s="59"/>
      <c r="Y79" s="59"/>
      <c r="Z79" s="59"/>
    </row>
    <row r="80" spans="9:26" s="35" customFormat="1" ht="12.75">
      <c r="I80" s="59"/>
      <c r="J80" s="59"/>
      <c r="K80" s="59"/>
      <c r="L80" s="59"/>
      <c r="M80" s="59"/>
      <c r="N80" s="59"/>
      <c r="O80" s="59"/>
      <c r="P80" s="59"/>
      <c r="Q80" s="59"/>
      <c r="R80" s="59"/>
      <c r="S80" s="59"/>
      <c r="T80" s="59"/>
      <c r="U80" s="59"/>
      <c r="V80" s="59"/>
      <c r="W80" s="59"/>
      <c r="X80" s="59"/>
      <c r="Y80" s="59"/>
      <c r="Z80" s="59"/>
    </row>
    <row r="81" spans="9:26" s="35" customFormat="1" ht="12.75">
      <c r="I81" s="59"/>
      <c r="J81" s="59"/>
      <c r="K81" s="59"/>
      <c r="L81" s="59"/>
      <c r="M81" s="59"/>
      <c r="N81" s="59"/>
      <c r="O81" s="59"/>
      <c r="P81" s="59"/>
      <c r="Q81" s="59"/>
      <c r="R81" s="59"/>
      <c r="S81" s="59"/>
      <c r="T81" s="59"/>
      <c r="U81" s="59"/>
      <c r="V81" s="59"/>
      <c r="W81" s="59"/>
      <c r="X81" s="59"/>
      <c r="Y81" s="59"/>
      <c r="Z81" s="59"/>
    </row>
    <row r="82" spans="9:26" s="35" customFormat="1" ht="12.75">
      <c r="I82" s="59"/>
      <c r="J82" s="59"/>
      <c r="K82" s="59"/>
      <c r="L82" s="59"/>
      <c r="M82" s="59"/>
      <c r="N82" s="59"/>
      <c r="O82" s="59"/>
      <c r="P82" s="59"/>
      <c r="Q82" s="59"/>
      <c r="R82" s="59"/>
      <c r="S82" s="59"/>
      <c r="T82" s="59"/>
      <c r="U82" s="59"/>
      <c r="V82" s="59"/>
      <c r="W82" s="59"/>
      <c r="X82" s="59"/>
      <c r="Y82" s="59"/>
      <c r="Z82" s="59"/>
    </row>
    <row r="83" spans="9:26" s="35" customFormat="1" ht="12.75">
      <c r="I83" s="59"/>
      <c r="J83" s="59"/>
      <c r="K83" s="59"/>
      <c r="L83" s="59"/>
      <c r="M83" s="59"/>
      <c r="N83" s="59"/>
      <c r="O83" s="59"/>
      <c r="P83" s="59"/>
      <c r="Q83" s="59"/>
      <c r="R83" s="59"/>
      <c r="S83" s="59"/>
      <c r="T83" s="59"/>
      <c r="U83" s="59"/>
      <c r="V83" s="59"/>
      <c r="W83" s="59"/>
      <c r="X83" s="59"/>
      <c r="Y83" s="59"/>
      <c r="Z83" s="59"/>
    </row>
    <row r="84" spans="9:26" s="35" customFormat="1" ht="12.75">
      <c r="I84" s="59"/>
      <c r="J84" s="59"/>
      <c r="K84" s="59"/>
      <c r="L84" s="59"/>
      <c r="M84" s="59"/>
      <c r="N84" s="59"/>
      <c r="O84" s="59"/>
      <c r="P84" s="59"/>
      <c r="Q84" s="59"/>
      <c r="R84" s="59"/>
      <c r="S84" s="59"/>
      <c r="T84" s="59"/>
      <c r="U84" s="59"/>
      <c r="V84" s="59"/>
      <c r="W84" s="59"/>
      <c r="X84" s="59"/>
      <c r="Y84" s="59"/>
      <c r="Z84" s="59"/>
    </row>
    <row r="85" spans="9:26" s="35" customFormat="1" ht="12.75">
      <c r="I85" s="59"/>
      <c r="J85" s="59"/>
      <c r="K85" s="59"/>
      <c r="L85" s="59"/>
      <c r="M85" s="59"/>
      <c r="N85" s="59"/>
      <c r="O85" s="59"/>
      <c r="P85" s="59"/>
      <c r="Q85" s="59"/>
      <c r="R85" s="59"/>
      <c r="S85" s="59"/>
      <c r="T85" s="59"/>
      <c r="U85" s="59"/>
      <c r="V85" s="59"/>
      <c r="W85" s="59"/>
      <c r="X85" s="59"/>
      <c r="Y85" s="59"/>
      <c r="Z85" s="59"/>
    </row>
    <row r="86" spans="9:26" s="35" customFormat="1" ht="12.75">
      <c r="I86" s="59"/>
      <c r="J86" s="59"/>
      <c r="K86" s="59"/>
      <c r="L86" s="59"/>
      <c r="M86" s="59"/>
      <c r="N86" s="59"/>
      <c r="O86" s="59"/>
      <c r="P86" s="59"/>
      <c r="Q86" s="59"/>
      <c r="R86" s="59"/>
      <c r="S86" s="59"/>
      <c r="T86" s="59"/>
      <c r="U86" s="59"/>
      <c r="V86" s="59"/>
      <c r="W86" s="59"/>
      <c r="X86" s="59"/>
      <c r="Y86" s="59"/>
      <c r="Z86" s="59"/>
    </row>
    <row r="87" spans="9:26" s="35" customFormat="1" ht="12.75">
      <c r="I87" s="59"/>
      <c r="J87" s="59"/>
      <c r="K87" s="59"/>
      <c r="L87" s="59"/>
      <c r="M87" s="59"/>
      <c r="N87" s="59"/>
      <c r="O87" s="59"/>
      <c r="P87" s="59"/>
      <c r="Q87" s="59"/>
      <c r="R87" s="59"/>
      <c r="S87" s="59"/>
      <c r="T87" s="59"/>
      <c r="U87" s="59"/>
      <c r="V87" s="59"/>
      <c r="W87" s="59"/>
      <c r="X87" s="59"/>
      <c r="Y87" s="59"/>
      <c r="Z87" s="59"/>
    </row>
    <row r="88" spans="9:26" s="35" customFormat="1" ht="12.75">
      <c r="I88" s="59"/>
      <c r="J88" s="59"/>
      <c r="K88" s="59"/>
      <c r="L88" s="59"/>
      <c r="M88" s="59"/>
      <c r="N88" s="59"/>
      <c r="O88" s="59"/>
      <c r="P88" s="59"/>
      <c r="Q88" s="59"/>
      <c r="R88" s="59"/>
      <c r="S88" s="59"/>
      <c r="T88" s="59"/>
      <c r="U88" s="59"/>
      <c r="V88" s="59"/>
      <c r="W88" s="59"/>
      <c r="X88" s="59"/>
      <c r="Y88" s="59"/>
      <c r="Z88" s="59"/>
    </row>
    <row r="89" spans="9:26" s="35" customFormat="1" ht="12.75">
      <c r="I89" s="59"/>
      <c r="J89" s="59"/>
      <c r="K89" s="59"/>
      <c r="L89" s="59"/>
      <c r="M89" s="59"/>
      <c r="N89" s="59"/>
      <c r="O89" s="59"/>
      <c r="P89" s="59"/>
      <c r="Q89" s="59"/>
      <c r="R89" s="59"/>
      <c r="S89" s="59"/>
      <c r="T89" s="59"/>
      <c r="U89" s="59"/>
      <c r="V89" s="59"/>
      <c r="W89" s="59"/>
      <c r="X89" s="59"/>
      <c r="Y89" s="59"/>
      <c r="Z89" s="59"/>
    </row>
    <row r="90" spans="9:26" s="35" customFormat="1" ht="12.75">
      <c r="I90" s="59"/>
      <c r="J90" s="59"/>
      <c r="K90" s="59"/>
      <c r="L90" s="59"/>
      <c r="M90" s="59"/>
      <c r="N90" s="59"/>
      <c r="O90" s="59"/>
      <c r="P90" s="59"/>
      <c r="Q90" s="59"/>
      <c r="R90" s="59"/>
      <c r="S90" s="59"/>
      <c r="T90" s="59"/>
      <c r="U90" s="59"/>
      <c r="V90" s="59"/>
      <c r="W90" s="59"/>
      <c r="X90" s="59"/>
      <c r="Y90" s="59"/>
      <c r="Z90" s="59"/>
    </row>
    <row r="91" spans="9:26" s="35" customFormat="1" ht="12.75">
      <c r="I91" s="59"/>
      <c r="J91" s="59"/>
      <c r="K91" s="59"/>
      <c r="L91" s="59"/>
      <c r="M91" s="59"/>
      <c r="N91" s="59"/>
      <c r="O91" s="59"/>
      <c r="P91" s="59"/>
      <c r="Q91" s="59"/>
      <c r="R91" s="59"/>
      <c r="S91" s="59"/>
      <c r="T91" s="59"/>
      <c r="U91" s="59"/>
      <c r="V91" s="59"/>
      <c r="W91" s="59"/>
      <c r="X91" s="59"/>
      <c r="Y91" s="59"/>
      <c r="Z91" s="59"/>
    </row>
    <row r="92" spans="9:26" s="35" customFormat="1" ht="12.75">
      <c r="I92" s="59"/>
      <c r="J92" s="59"/>
      <c r="K92" s="59"/>
      <c r="L92" s="59"/>
      <c r="M92" s="59"/>
      <c r="N92" s="59"/>
      <c r="O92" s="59"/>
      <c r="P92" s="59"/>
      <c r="Q92" s="59"/>
      <c r="R92" s="59"/>
      <c r="S92" s="59"/>
      <c r="T92" s="59"/>
      <c r="U92" s="59"/>
      <c r="V92" s="59"/>
      <c r="W92" s="59"/>
      <c r="X92" s="59"/>
      <c r="Y92" s="59"/>
      <c r="Z92" s="59"/>
    </row>
    <row r="93" spans="9:26" s="35" customFormat="1" ht="12.75">
      <c r="I93" s="59"/>
      <c r="J93" s="59"/>
      <c r="K93" s="59"/>
      <c r="L93" s="59"/>
      <c r="M93" s="59"/>
      <c r="N93" s="59"/>
      <c r="O93" s="59"/>
      <c r="P93" s="59"/>
      <c r="Q93" s="59"/>
      <c r="R93" s="59"/>
      <c r="S93" s="59"/>
      <c r="T93" s="59"/>
      <c r="U93" s="59"/>
      <c r="V93" s="59"/>
      <c r="W93" s="59"/>
      <c r="X93" s="59"/>
      <c r="Y93" s="59"/>
      <c r="Z93" s="59"/>
    </row>
    <row r="94" spans="9:26" s="35" customFormat="1" ht="12.75">
      <c r="I94" s="59"/>
      <c r="J94" s="59"/>
      <c r="K94" s="59"/>
      <c r="L94" s="59"/>
      <c r="M94" s="59"/>
      <c r="N94" s="59"/>
      <c r="O94" s="59"/>
      <c r="P94" s="59"/>
      <c r="Q94" s="59"/>
      <c r="R94" s="59"/>
      <c r="S94" s="59"/>
      <c r="T94" s="59"/>
      <c r="U94" s="59"/>
      <c r="V94" s="59"/>
      <c r="W94" s="59"/>
      <c r="X94" s="59"/>
      <c r="Y94" s="59"/>
      <c r="Z94" s="59"/>
    </row>
    <row r="95" spans="9:26" s="35" customFormat="1" ht="12.75">
      <c r="I95" s="59"/>
      <c r="J95" s="59"/>
      <c r="K95" s="59"/>
      <c r="L95" s="59"/>
      <c r="M95" s="59"/>
      <c r="N95" s="59"/>
      <c r="O95" s="59"/>
      <c r="P95" s="59"/>
      <c r="Q95" s="59"/>
      <c r="R95" s="59"/>
      <c r="S95" s="59"/>
      <c r="T95" s="59"/>
      <c r="U95" s="59"/>
      <c r="V95" s="59"/>
      <c r="W95" s="59"/>
      <c r="X95" s="59"/>
      <c r="Y95" s="59"/>
      <c r="Z95" s="59"/>
    </row>
    <row r="96" spans="9:26" s="35" customFormat="1" ht="12.75">
      <c r="I96" s="59"/>
      <c r="J96" s="59"/>
      <c r="K96" s="59"/>
      <c r="L96" s="59"/>
      <c r="M96" s="59"/>
      <c r="N96" s="59"/>
      <c r="O96" s="59"/>
      <c r="P96" s="59"/>
      <c r="Q96" s="59"/>
      <c r="R96" s="59"/>
      <c r="S96" s="59"/>
      <c r="T96" s="59"/>
      <c r="U96" s="59"/>
      <c r="V96" s="59"/>
      <c r="W96" s="59"/>
      <c r="X96" s="59"/>
      <c r="Y96" s="59"/>
      <c r="Z96" s="59"/>
    </row>
    <row r="97" spans="9:26" s="35" customFormat="1" ht="12.75">
      <c r="I97" s="59"/>
      <c r="J97" s="59"/>
      <c r="K97" s="59"/>
      <c r="L97" s="59"/>
      <c r="M97" s="59"/>
      <c r="N97" s="59"/>
      <c r="O97" s="59"/>
      <c r="P97" s="59"/>
      <c r="Q97" s="59"/>
      <c r="R97" s="59"/>
      <c r="S97" s="59"/>
      <c r="T97" s="59"/>
      <c r="U97" s="59"/>
      <c r="V97" s="59"/>
      <c r="W97" s="59"/>
      <c r="X97" s="59"/>
      <c r="Y97" s="59"/>
      <c r="Z97" s="59"/>
    </row>
    <row r="98" spans="9:26" s="35" customFormat="1" ht="12.75">
      <c r="I98" s="59"/>
      <c r="J98" s="59"/>
      <c r="K98" s="59"/>
      <c r="L98" s="59"/>
      <c r="M98" s="59"/>
      <c r="N98" s="59"/>
      <c r="O98" s="59"/>
      <c r="P98" s="59"/>
      <c r="Q98" s="59"/>
      <c r="R98" s="59"/>
      <c r="S98" s="59"/>
      <c r="T98" s="59"/>
      <c r="U98" s="59"/>
      <c r="V98" s="59"/>
      <c r="W98" s="59"/>
      <c r="X98" s="59"/>
      <c r="Y98" s="59"/>
      <c r="Z98" s="59"/>
    </row>
    <row r="99" spans="9:26" s="35" customFormat="1" ht="12.75">
      <c r="I99" s="59"/>
      <c r="J99" s="59"/>
      <c r="K99" s="59"/>
      <c r="L99" s="59"/>
      <c r="M99" s="59"/>
      <c r="N99" s="59"/>
      <c r="O99" s="59"/>
      <c r="P99" s="59"/>
      <c r="Q99" s="59"/>
      <c r="R99" s="59"/>
      <c r="S99" s="59"/>
      <c r="T99" s="59"/>
      <c r="U99" s="59"/>
      <c r="V99" s="59"/>
      <c r="W99" s="59"/>
      <c r="X99" s="59"/>
      <c r="Y99" s="59"/>
      <c r="Z99" s="59"/>
    </row>
    <row r="100" spans="9:26" s="35" customFormat="1" ht="12.75">
      <c r="I100" s="59"/>
      <c r="J100" s="59"/>
      <c r="K100" s="59"/>
      <c r="L100" s="59"/>
      <c r="M100" s="59"/>
      <c r="N100" s="59"/>
      <c r="O100" s="59"/>
      <c r="P100" s="59"/>
      <c r="Q100" s="59"/>
      <c r="R100" s="59"/>
      <c r="S100" s="59"/>
      <c r="T100" s="59"/>
      <c r="U100" s="59"/>
      <c r="V100" s="59"/>
      <c r="W100" s="59"/>
      <c r="X100" s="59"/>
      <c r="Y100" s="59"/>
      <c r="Z100" s="59"/>
    </row>
    <row r="101" spans="9:26" s="35" customFormat="1" ht="12.75">
      <c r="I101" s="59"/>
      <c r="J101" s="59"/>
      <c r="K101" s="59"/>
      <c r="L101" s="59"/>
      <c r="M101" s="59"/>
      <c r="N101" s="59"/>
      <c r="O101" s="59"/>
      <c r="P101" s="59"/>
      <c r="Q101" s="59"/>
      <c r="R101" s="59"/>
      <c r="S101" s="59"/>
      <c r="T101" s="59"/>
      <c r="U101" s="59"/>
      <c r="V101" s="59"/>
      <c r="W101" s="59"/>
      <c r="X101" s="59"/>
      <c r="Y101" s="59"/>
      <c r="Z101" s="59"/>
    </row>
    <row r="102" spans="9:26" s="35" customFormat="1" ht="12.75">
      <c r="I102" s="59"/>
      <c r="J102" s="59"/>
      <c r="K102" s="59"/>
      <c r="L102" s="59"/>
      <c r="M102" s="59"/>
      <c r="N102" s="59"/>
      <c r="O102" s="59"/>
      <c r="P102" s="59"/>
      <c r="Q102" s="59"/>
      <c r="R102" s="59"/>
      <c r="S102" s="59"/>
      <c r="T102" s="59"/>
      <c r="U102" s="59"/>
      <c r="V102" s="59"/>
      <c r="W102" s="59"/>
      <c r="X102" s="59"/>
      <c r="Y102" s="59"/>
      <c r="Z102" s="59"/>
    </row>
    <row r="103" spans="9:26" s="35" customFormat="1" ht="12.75">
      <c r="I103" s="59"/>
      <c r="J103" s="59"/>
      <c r="K103" s="59"/>
      <c r="L103" s="59"/>
      <c r="M103" s="59"/>
      <c r="N103" s="59"/>
      <c r="O103" s="59"/>
      <c r="P103" s="59"/>
      <c r="Q103" s="59"/>
      <c r="R103" s="59"/>
      <c r="S103" s="59"/>
      <c r="T103" s="59"/>
      <c r="U103" s="59"/>
      <c r="V103" s="59"/>
      <c r="W103" s="59"/>
      <c r="X103" s="59"/>
      <c r="Y103" s="59"/>
      <c r="Z103" s="59"/>
    </row>
    <row r="104" spans="9:26" s="35" customFormat="1" ht="12.75">
      <c r="I104" s="59"/>
      <c r="J104" s="59"/>
      <c r="K104" s="59"/>
      <c r="L104" s="59"/>
      <c r="M104" s="59"/>
      <c r="N104" s="59"/>
      <c r="O104" s="59"/>
      <c r="P104" s="59"/>
      <c r="Q104" s="59"/>
      <c r="R104" s="59"/>
      <c r="S104" s="59"/>
      <c r="T104" s="59"/>
      <c r="U104" s="59"/>
      <c r="V104" s="59"/>
      <c r="W104" s="59"/>
      <c r="X104" s="59"/>
      <c r="Y104" s="59"/>
      <c r="Z104" s="59"/>
    </row>
    <row r="105" spans="9:26" s="35" customFormat="1" ht="12.75">
      <c r="I105" s="59"/>
      <c r="J105" s="59"/>
      <c r="K105" s="59"/>
      <c r="L105" s="59"/>
      <c r="M105" s="59"/>
      <c r="N105" s="59"/>
      <c r="O105" s="59"/>
      <c r="P105" s="59"/>
      <c r="Q105" s="59"/>
      <c r="R105" s="59"/>
      <c r="S105" s="59"/>
      <c r="T105" s="59"/>
      <c r="U105" s="59"/>
      <c r="V105" s="59"/>
      <c r="W105" s="59"/>
      <c r="X105" s="59"/>
      <c r="Y105" s="59"/>
      <c r="Z105" s="59"/>
    </row>
    <row r="106" spans="9:26" s="35" customFormat="1" ht="12" customHeight="1">
      <c r="I106" s="59"/>
      <c r="J106" s="59"/>
      <c r="K106" s="59"/>
      <c r="L106" s="59"/>
      <c r="M106" s="59"/>
      <c r="N106" s="59"/>
      <c r="O106" s="59"/>
      <c r="P106" s="59"/>
      <c r="Q106" s="59"/>
      <c r="R106" s="59"/>
      <c r="S106" s="59"/>
      <c r="T106" s="59"/>
      <c r="U106" s="59"/>
      <c r="V106" s="59"/>
      <c r="W106" s="59"/>
      <c r="X106" s="59"/>
      <c r="Y106" s="59"/>
      <c r="Z106" s="59"/>
    </row>
    <row r="107" spans="9:26" s="35" customFormat="1" ht="20.25" customHeight="1">
      <c r="I107" s="59"/>
      <c r="J107" s="59"/>
      <c r="K107" s="59"/>
      <c r="L107" s="59"/>
      <c r="M107" s="59"/>
      <c r="N107" s="59"/>
      <c r="O107" s="59"/>
      <c r="P107" s="59"/>
      <c r="Q107" s="59"/>
      <c r="R107" s="59"/>
      <c r="S107" s="59"/>
      <c r="T107" s="59"/>
      <c r="U107" s="59"/>
      <c r="V107" s="59"/>
      <c r="W107" s="59"/>
      <c r="X107" s="59"/>
      <c r="Y107" s="59"/>
      <c r="Z107" s="59"/>
    </row>
    <row r="108" spans="9:26" s="35" customFormat="1" ht="20.25" customHeight="1">
      <c r="I108" s="59"/>
      <c r="J108" s="59"/>
      <c r="K108" s="59"/>
      <c r="L108" s="59"/>
      <c r="M108" s="59"/>
      <c r="N108" s="59"/>
      <c r="O108" s="59"/>
      <c r="P108" s="59"/>
      <c r="Q108" s="59"/>
      <c r="R108" s="59"/>
      <c r="S108" s="59"/>
      <c r="T108" s="59"/>
      <c r="U108" s="59"/>
      <c r="V108" s="59"/>
      <c r="W108" s="59"/>
      <c r="X108" s="59"/>
      <c r="Y108" s="59"/>
      <c r="Z108" s="59"/>
    </row>
    <row r="109" spans="9:26" s="35" customFormat="1" ht="12.75">
      <c r="I109" s="59"/>
      <c r="J109" s="59"/>
      <c r="K109" s="59"/>
      <c r="L109" s="59"/>
      <c r="M109" s="59"/>
      <c r="N109" s="59"/>
      <c r="O109" s="59"/>
      <c r="P109" s="59"/>
      <c r="Q109" s="59"/>
      <c r="R109" s="59"/>
      <c r="S109" s="59"/>
      <c r="T109" s="59"/>
      <c r="U109" s="59"/>
      <c r="V109" s="59"/>
      <c r="W109" s="59"/>
      <c r="X109" s="59"/>
      <c r="Y109" s="59"/>
      <c r="Z109" s="59"/>
    </row>
    <row r="110" spans="9:26" s="35" customFormat="1" ht="87" customHeight="1">
      <c r="I110" s="59"/>
      <c r="J110" s="59"/>
      <c r="K110" s="59"/>
      <c r="L110" s="59"/>
      <c r="M110" s="59"/>
      <c r="N110" s="59"/>
      <c r="O110" s="59"/>
      <c r="P110" s="59"/>
      <c r="Q110" s="59"/>
      <c r="R110" s="59"/>
      <c r="S110" s="59"/>
      <c r="T110" s="59"/>
      <c r="U110" s="59"/>
      <c r="V110" s="59"/>
      <c r="W110" s="59"/>
      <c r="X110" s="59"/>
      <c r="Y110" s="59"/>
      <c r="Z110" s="59"/>
    </row>
    <row r="111" spans="9:26" s="35" customFormat="1" ht="12.75">
      <c r="I111" s="59"/>
      <c r="J111" s="59"/>
      <c r="K111" s="59"/>
      <c r="L111" s="59"/>
      <c r="M111" s="59"/>
      <c r="N111" s="59"/>
      <c r="O111" s="59"/>
      <c r="P111" s="59"/>
      <c r="Q111" s="59"/>
      <c r="R111" s="59"/>
      <c r="S111" s="59"/>
      <c r="T111" s="59"/>
      <c r="U111" s="59"/>
      <c r="V111" s="59"/>
      <c r="W111" s="59"/>
      <c r="X111" s="59"/>
      <c r="Y111" s="59"/>
      <c r="Z111" s="59"/>
    </row>
    <row r="112" spans="9:26" s="35" customFormat="1" ht="12.75">
      <c r="I112" s="59"/>
      <c r="J112" s="59"/>
      <c r="K112" s="59"/>
      <c r="L112" s="59"/>
      <c r="M112" s="59"/>
      <c r="N112" s="59"/>
      <c r="O112" s="59"/>
      <c r="P112" s="59"/>
      <c r="Q112" s="59"/>
      <c r="R112" s="59"/>
      <c r="S112" s="59"/>
      <c r="T112" s="59"/>
      <c r="U112" s="59"/>
      <c r="V112" s="59"/>
      <c r="W112" s="59"/>
      <c r="X112" s="59"/>
      <c r="Y112" s="59"/>
      <c r="Z112" s="59"/>
    </row>
    <row r="113" spans="9:26" s="35" customFormat="1" ht="12.75">
      <c r="I113" s="59"/>
      <c r="J113" s="59"/>
      <c r="K113" s="59"/>
      <c r="L113" s="59"/>
      <c r="M113" s="59"/>
      <c r="N113" s="59"/>
      <c r="O113" s="59"/>
      <c r="P113" s="59"/>
      <c r="Q113" s="59"/>
      <c r="R113" s="59"/>
      <c r="S113" s="59"/>
      <c r="T113" s="59"/>
      <c r="U113" s="59"/>
      <c r="V113" s="59"/>
      <c r="W113" s="59"/>
      <c r="X113" s="59"/>
      <c r="Y113" s="59"/>
      <c r="Z113" s="59"/>
    </row>
    <row r="114" spans="9:26" s="35" customFormat="1" ht="12.75">
      <c r="I114" s="59"/>
      <c r="J114" s="59"/>
      <c r="K114" s="59"/>
      <c r="L114" s="59"/>
      <c r="M114" s="59"/>
      <c r="N114" s="59"/>
      <c r="O114" s="59"/>
      <c r="P114" s="59"/>
      <c r="Q114" s="59"/>
      <c r="R114" s="59"/>
      <c r="S114" s="59"/>
      <c r="T114" s="59"/>
      <c r="U114" s="59"/>
      <c r="V114" s="59"/>
      <c r="W114" s="59"/>
      <c r="X114" s="59"/>
      <c r="Y114" s="59"/>
      <c r="Z114" s="59"/>
    </row>
    <row r="115" spans="9:26" s="35" customFormat="1" ht="12.75">
      <c r="I115" s="59"/>
      <c r="J115" s="59"/>
      <c r="K115" s="59"/>
      <c r="L115" s="59"/>
      <c r="M115" s="59"/>
      <c r="N115" s="59"/>
      <c r="O115" s="59"/>
      <c r="P115" s="59"/>
      <c r="Q115" s="59"/>
      <c r="R115" s="59"/>
      <c r="S115" s="59"/>
      <c r="T115" s="59"/>
      <c r="U115" s="59"/>
      <c r="V115" s="59"/>
      <c r="W115" s="59"/>
      <c r="X115" s="59"/>
      <c r="Y115" s="59"/>
      <c r="Z115" s="59"/>
    </row>
    <row r="116" spans="9:26" s="35" customFormat="1" ht="12.75">
      <c r="I116" s="59"/>
      <c r="J116" s="59"/>
      <c r="K116" s="59"/>
      <c r="L116" s="59"/>
      <c r="M116" s="59"/>
      <c r="N116" s="59"/>
      <c r="O116" s="59"/>
      <c r="P116" s="59"/>
      <c r="Q116" s="59"/>
      <c r="R116" s="59"/>
      <c r="S116" s="59"/>
      <c r="T116" s="59"/>
      <c r="U116" s="59"/>
      <c r="V116" s="59"/>
      <c r="W116" s="59"/>
      <c r="X116" s="59"/>
      <c r="Y116" s="59"/>
      <c r="Z116" s="59"/>
    </row>
    <row r="117" spans="9:26" s="35" customFormat="1" ht="12.75">
      <c r="I117" s="59"/>
      <c r="J117" s="59"/>
      <c r="K117" s="59"/>
      <c r="L117" s="59"/>
      <c r="M117" s="59"/>
      <c r="N117" s="59"/>
      <c r="O117" s="59"/>
      <c r="P117" s="59"/>
      <c r="Q117" s="59"/>
      <c r="R117" s="59"/>
      <c r="S117" s="59"/>
      <c r="T117" s="59"/>
      <c r="U117" s="59"/>
      <c r="V117" s="59"/>
      <c r="W117" s="59"/>
      <c r="X117" s="59"/>
      <c r="Y117" s="59"/>
      <c r="Z117" s="59"/>
    </row>
    <row r="118" spans="9:26" s="35" customFormat="1" ht="12.75">
      <c r="I118" s="59"/>
      <c r="J118" s="59"/>
      <c r="K118" s="59"/>
      <c r="L118" s="59"/>
      <c r="M118" s="59"/>
      <c r="N118" s="59"/>
      <c r="O118" s="59"/>
      <c r="P118" s="59"/>
      <c r="Q118" s="59"/>
      <c r="R118" s="59"/>
      <c r="S118" s="59"/>
      <c r="T118" s="59"/>
      <c r="U118" s="59"/>
      <c r="V118" s="59"/>
      <c r="W118" s="59"/>
      <c r="X118" s="59"/>
      <c r="Y118" s="59"/>
      <c r="Z118" s="59"/>
    </row>
    <row r="119" spans="9:26" s="35" customFormat="1" ht="12.75">
      <c r="I119" s="59"/>
      <c r="J119" s="59"/>
      <c r="K119" s="59"/>
      <c r="L119" s="59"/>
      <c r="M119" s="59"/>
      <c r="N119" s="59"/>
      <c r="O119" s="59"/>
      <c r="P119" s="59"/>
      <c r="Q119" s="59"/>
      <c r="R119" s="59"/>
      <c r="S119" s="59"/>
      <c r="T119" s="59"/>
      <c r="U119" s="59"/>
      <c r="V119" s="59"/>
      <c r="W119" s="59"/>
      <c r="X119" s="59"/>
      <c r="Y119" s="59"/>
      <c r="Z119" s="59"/>
    </row>
    <row r="120" spans="9:26" s="35" customFormat="1" ht="12.75">
      <c r="I120" s="59"/>
      <c r="J120" s="59"/>
      <c r="K120" s="59"/>
      <c r="L120" s="59"/>
      <c r="M120" s="59"/>
      <c r="N120" s="59"/>
      <c r="O120" s="59"/>
      <c r="P120" s="59"/>
      <c r="Q120" s="59"/>
      <c r="R120" s="59"/>
      <c r="S120" s="59"/>
      <c r="T120" s="59"/>
      <c r="U120" s="59"/>
      <c r="V120" s="59"/>
      <c r="W120" s="59"/>
      <c r="X120" s="59"/>
      <c r="Y120" s="59"/>
      <c r="Z120" s="59"/>
    </row>
    <row r="121" spans="9:26" s="35" customFormat="1" ht="12.75">
      <c r="I121" s="59"/>
      <c r="J121" s="59"/>
      <c r="K121" s="59"/>
      <c r="L121" s="59"/>
      <c r="M121" s="59"/>
      <c r="N121" s="59"/>
      <c r="O121" s="59"/>
      <c r="P121" s="59"/>
      <c r="Q121" s="59"/>
      <c r="R121" s="59"/>
      <c r="S121" s="59"/>
      <c r="T121" s="59"/>
      <c r="U121" s="59"/>
      <c r="V121" s="59"/>
      <c r="W121" s="59"/>
      <c r="X121" s="59"/>
      <c r="Y121" s="59"/>
      <c r="Z121" s="59"/>
    </row>
  </sheetData>
  <sheetProtection password="C4F0" sheet="1" objects="1" scenarios="1"/>
  <mergeCells count="7">
    <mergeCell ref="A30:C30"/>
    <mergeCell ref="A1:H1"/>
    <mergeCell ref="A2:H2"/>
    <mergeCell ref="A8:D8"/>
    <mergeCell ref="A10:D10"/>
    <mergeCell ref="A14:C14"/>
    <mergeCell ref="A26:D26"/>
  </mergeCells>
  <dataValidations count="1">
    <dataValidation allowBlank="1" showInputMessage="1" showErrorMessage="1" prompt="DOE's sale tax figure will automatically appear in this box.  You can also enter your most recent estimate, if it differs from the department's figure." sqref="F26"/>
  </dataValidations>
  <hyperlinks>
    <hyperlink ref="A9" r:id="rId1" display="(See Attachment D, Chart of Accounts, for 2004-2005 ASRFIN)"/>
  </hyperlinks>
  <printOptions horizontalCentered="1"/>
  <pageMargins left="0.34" right="0.31" top="0.5" bottom="0.5" header="0.5" footer="0.5"/>
  <pageSetup horizontalDpi="600" verticalDpi="600" orientation="landscape" scale="75" r:id="rId4"/>
  <legacyDrawing r:id="rId3"/>
</worksheet>
</file>

<file path=xl/worksheets/sheet5.xml><?xml version="1.0" encoding="utf-8"?>
<worksheet xmlns="http://schemas.openxmlformats.org/spreadsheetml/2006/main" xmlns:r="http://schemas.openxmlformats.org/officeDocument/2006/relationships">
  <sheetPr codeName="Sheet2"/>
  <dimension ref="A1:C137"/>
  <sheetViews>
    <sheetView workbookViewId="0" topLeftCell="A1">
      <selection activeCell="A14" sqref="A14"/>
    </sheetView>
  </sheetViews>
  <sheetFormatPr defaultColWidth="9.140625" defaultRowHeight="12.75"/>
  <cols>
    <col min="1" max="1" width="37.7109375" style="0" bestFit="1" customWidth="1"/>
    <col min="3" max="3" width="24.28125" style="0" bestFit="1" customWidth="1"/>
  </cols>
  <sheetData>
    <row r="1" ht="15.75">
      <c r="A1" s="105" t="s">
        <v>11</v>
      </c>
    </row>
    <row r="2" spans="1:3" ht="15">
      <c r="A2" s="5" t="s">
        <v>12</v>
      </c>
      <c r="B2" s="169">
        <v>1</v>
      </c>
      <c r="C2" t="s">
        <v>480</v>
      </c>
    </row>
    <row r="3" spans="1:3" ht="15">
      <c r="A3" s="5" t="s">
        <v>13</v>
      </c>
      <c r="B3" s="169">
        <v>2</v>
      </c>
      <c r="C3" t="s">
        <v>481</v>
      </c>
    </row>
    <row r="4" spans="1:3" ht="15">
      <c r="A4" s="5" t="s">
        <v>283</v>
      </c>
      <c r="B4" s="169">
        <v>3</v>
      </c>
      <c r="C4" t="s">
        <v>482</v>
      </c>
    </row>
    <row r="5" spans="1:3" ht="15">
      <c r="A5" s="5" t="s">
        <v>14</v>
      </c>
      <c r="B5" s="169">
        <v>4</v>
      </c>
      <c r="C5" t="s">
        <v>483</v>
      </c>
    </row>
    <row r="6" spans="1:3" ht="15">
      <c r="A6" s="5" t="s">
        <v>15</v>
      </c>
      <c r="B6" s="169">
        <v>5</v>
      </c>
      <c r="C6" t="s">
        <v>484</v>
      </c>
    </row>
    <row r="7" spans="1:3" ht="15">
      <c r="A7" s="5" t="s">
        <v>16</v>
      </c>
      <c r="B7" s="169">
        <v>6</v>
      </c>
      <c r="C7" t="s">
        <v>485</v>
      </c>
    </row>
    <row r="8" spans="1:3" ht="15">
      <c r="A8" s="5" t="s">
        <v>17</v>
      </c>
      <c r="B8" s="169">
        <v>7</v>
      </c>
      <c r="C8" t="s">
        <v>486</v>
      </c>
    </row>
    <row r="9" spans="1:3" ht="15">
      <c r="A9" s="5" t="s">
        <v>18</v>
      </c>
      <c r="B9" s="169">
        <v>8</v>
      </c>
      <c r="C9" t="s">
        <v>487</v>
      </c>
    </row>
    <row r="10" spans="1:3" ht="15">
      <c r="A10" s="5" t="s">
        <v>19</v>
      </c>
      <c r="B10" s="169">
        <v>9</v>
      </c>
      <c r="C10" t="s">
        <v>488</v>
      </c>
    </row>
    <row r="11" spans="1:3" ht="15">
      <c r="A11" s="5" t="s">
        <v>20</v>
      </c>
      <c r="B11" s="169">
        <v>10</v>
      </c>
      <c r="C11" t="s">
        <v>489</v>
      </c>
    </row>
    <row r="12" spans="1:3" ht="15">
      <c r="A12" s="5" t="s">
        <v>21</v>
      </c>
      <c r="B12" s="169">
        <v>11</v>
      </c>
      <c r="C12" t="s">
        <v>490</v>
      </c>
    </row>
    <row r="13" spans="1:3" ht="15">
      <c r="A13" s="5" t="s">
        <v>22</v>
      </c>
      <c r="B13" s="169">
        <v>12</v>
      </c>
      <c r="C13" t="s">
        <v>491</v>
      </c>
    </row>
    <row r="14" spans="1:3" ht="15">
      <c r="A14" s="5" t="s">
        <v>23</v>
      </c>
      <c r="B14" s="169">
        <v>13</v>
      </c>
      <c r="C14" t="s">
        <v>492</v>
      </c>
    </row>
    <row r="15" spans="1:3" ht="15">
      <c r="A15" s="5" t="s">
        <v>24</v>
      </c>
      <c r="B15" s="169">
        <v>14</v>
      </c>
      <c r="C15" t="s">
        <v>493</v>
      </c>
    </row>
    <row r="16" spans="1:3" ht="15">
      <c r="A16" s="5" t="s">
        <v>25</v>
      </c>
      <c r="B16" s="169">
        <v>15</v>
      </c>
      <c r="C16" t="s">
        <v>494</v>
      </c>
    </row>
    <row r="17" spans="1:3" ht="15">
      <c r="A17" s="5" t="s">
        <v>26</v>
      </c>
      <c r="B17" s="169">
        <v>16</v>
      </c>
      <c r="C17" t="s">
        <v>495</v>
      </c>
    </row>
    <row r="18" spans="1:3" ht="15">
      <c r="A18" s="5" t="s">
        <v>27</v>
      </c>
      <c r="B18" s="169">
        <v>17</v>
      </c>
      <c r="C18" t="s">
        <v>496</v>
      </c>
    </row>
    <row r="19" spans="1:3" ht="15">
      <c r="A19" s="5" t="s">
        <v>28</v>
      </c>
      <c r="B19" s="169">
        <v>18</v>
      </c>
      <c r="C19" t="s">
        <v>497</v>
      </c>
    </row>
    <row r="20" spans="1:3" ht="15">
      <c r="A20" s="5" t="s">
        <v>29</v>
      </c>
      <c r="B20" s="169">
        <v>19</v>
      </c>
      <c r="C20" t="s">
        <v>498</v>
      </c>
    </row>
    <row r="21" spans="1:3" ht="15">
      <c r="A21" s="5" t="s">
        <v>30</v>
      </c>
      <c r="B21" s="169">
        <v>20</v>
      </c>
      <c r="C21" t="s">
        <v>499</v>
      </c>
    </row>
    <row r="22" spans="1:3" ht="15">
      <c r="A22" s="5" t="s">
        <v>31</v>
      </c>
      <c r="B22" s="169">
        <v>21</v>
      </c>
      <c r="C22" t="s">
        <v>500</v>
      </c>
    </row>
    <row r="23" spans="1:3" ht="15">
      <c r="A23" s="5" t="s">
        <v>32</v>
      </c>
      <c r="B23" s="169">
        <v>22</v>
      </c>
      <c r="C23" t="s">
        <v>501</v>
      </c>
    </row>
    <row r="24" spans="1:3" ht="15">
      <c r="A24" s="5" t="s">
        <v>33</v>
      </c>
      <c r="B24" s="169">
        <v>23</v>
      </c>
      <c r="C24" t="s">
        <v>502</v>
      </c>
    </row>
    <row r="25" spans="1:3" ht="15">
      <c r="A25" s="5" t="s">
        <v>34</v>
      </c>
      <c r="B25" s="169">
        <v>24</v>
      </c>
      <c r="C25" t="s">
        <v>503</v>
      </c>
    </row>
    <row r="26" spans="1:3" ht="15">
      <c r="A26" s="5" t="s">
        <v>35</v>
      </c>
      <c r="B26" s="169">
        <v>25</v>
      </c>
      <c r="C26" t="s">
        <v>504</v>
      </c>
    </row>
    <row r="27" spans="1:3" ht="15">
      <c r="A27" s="5" t="s">
        <v>36</v>
      </c>
      <c r="B27" s="169">
        <v>26</v>
      </c>
      <c r="C27" t="s">
        <v>505</v>
      </c>
    </row>
    <row r="28" spans="1:3" ht="15">
      <c r="A28" s="5" t="s">
        <v>37</v>
      </c>
      <c r="B28" s="169">
        <v>27</v>
      </c>
      <c r="C28" t="s">
        <v>506</v>
      </c>
    </row>
    <row r="29" spans="1:3" ht="15">
      <c r="A29" s="5" t="s">
        <v>38</v>
      </c>
      <c r="B29" s="169">
        <v>28</v>
      </c>
      <c r="C29" t="s">
        <v>507</v>
      </c>
    </row>
    <row r="30" spans="1:3" ht="15">
      <c r="A30" s="5" t="s">
        <v>39</v>
      </c>
      <c r="B30" s="169">
        <v>29</v>
      </c>
      <c r="C30" t="s">
        <v>508</v>
      </c>
    </row>
    <row r="31" spans="1:3" ht="15">
      <c r="A31" s="5" t="s">
        <v>40</v>
      </c>
      <c r="B31" s="169">
        <v>30</v>
      </c>
      <c r="C31" t="s">
        <v>509</v>
      </c>
    </row>
    <row r="32" spans="1:3" ht="15">
      <c r="A32" s="5" t="s">
        <v>41</v>
      </c>
      <c r="B32" s="169">
        <v>31</v>
      </c>
      <c r="C32" t="s">
        <v>510</v>
      </c>
    </row>
    <row r="33" spans="1:3" ht="15">
      <c r="A33" s="5" t="s">
        <v>42</v>
      </c>
      <c r="B33" s="169">
        <v>32</v>
      </c>
      <c r="C33" t="s">
        <v>511</v>
      </c>
    </row>
    <row r="34" spans="1:3" ht="15">
      <c r="A34" s="5" t="s">
        <v>43</v>
      </c>
      <c r="B34" s="169">
        <v>33</v>
      </c>
      <c r="C34" t="s">
        <v>512</v>
      </c>
    </row>
    <row r="35" spans="1:3" ht="15">
      <c r="A35" s="5" t="s">
        <v>44</v>
      </c>
      <c r="B35" s="169">
        <v>34</v>
      </c>
      <c r="C35" t="s">
        <v>513</v>
      </c>
    </row>
    <row r="36" spans="1:3" ht="15">
      <c r="A36" s="5" t="s">
        <v>45</v>
      </c>
      <c r="B36" s="169">
        <v>35</v>
      </c>
      <c r="C36" t="s">
        <v>514</v>
      </c>
    </row>
    <row r="37" spans="1:3" ht="15">
      <c r="A37" s="5" t="s">
        <v>46</v>
      </c>
      <c r="B37" s="169">
        <v>36</v>
      </c>
      <c r="C37" t="s">
        <v>515</v>
      </c>
    </row>
    <row r="38" spans="1:3" ht="15">
      <c r="A38" s="5" t="s">
        <v>47</v>
      </c>
      <c r="B38" s="169">
        <v>37</v>
      </c>
      <c r="C38" t="s">
        <v>516</v>
      </c>
    </row>
    <row r="39" spans="1:3" ht="15">
      <c r="A39" s="5" t="s">
        <v>48</v>
      </c>
      <c r="B39" s="169">
        <v>38</v>
      </c>
      <c r="C39" t="s">
        <v>517</v>
      </c>
    </row>
    <row r="40" spans="1:3" ht="15">
      <c r="A40" s="5" t="s">
        <v>49</v>
      </c>
      <c r="B40" s="169">
        <v>39</v>
      </c>
      <c r="C40" t="s">
        <v>518</v>
      </c>
    </row>
    <row r="41" spans="1:3" ht="15">
      <c r="A41" s="5" t="s">
        <v>50</v>
      </c>
      <c r="B41" s="169">
        <v>40</v>
      </c>
      <c r="C41" t="s">
        <v>519</v>
      </c>
    </row>
    <row r="42" spans="1:3" ht="15">
      <c r="A42" s="5" t="s">
        <v>51</v>
      </c>
      <c r="B42" s="169">
        <v>41</v>
      </c>
      <c r="C42" t="s">
        <v>520</v>
      </c>
    </row>
    <row r="43" spans="1:3" ht="15">
      <c r="A43" s="5" t="s">
        <v>52</v>
      </c>
      <c r="B43" s="169">
        <v>42</v>
      </c>
      <c r="C43" t="s">
        <v>521</v>
      </c>
    </row>
    <row r="44" spans="1:3" ht="15">
      <c r="A44" s="5" t="s">
        <v>53</v>
      </c>
      <c r="B44" s="169">
        <v>43</v>
      </c>
      <c r="C44" t="s">
        <v>522</v>
      </c>
    </row>
    <row r="45" spans="1:3" ht="15">
      <c r="A45" s="5" t="s">
        <v>54</v>
      </c>
      <c r="B45" s="169">
        <v>44</v>
      </c>
      <c r="C45" t="s">
        <v>523</v>
      </c>
    </row>
    <row r="46" spans="1:3" ht="15">
      <c r="A46" s="5" t="s">
        <v>55</v>
      </c>
      <c r="B46" s="169">
        <v>45</v>
      </c>
      <c r="C46" t="s">
        <v>524</v>
      </c>
    </row>
    <row r="47" spans="1:3" ht="15">
      <c r="A47" s="5" t="s">
        <v>56</v>
      </c>
      <c r="B47" s="169">
        <v>46</v>
      </c>
      <c r="C47" t="s">
        <v>525</v>
      </c>
    </row>
    <row r="48" spans="1:3" ht="15">
      <c r="A48" s="5" t="s">
        <v>438</v>
      </c>
      <c r="B48" s="169">
        <v>47</v>
      </c>
      <c r="C48" t="s">
        <v>526</v>
      </c>
    </row>
    <row r="49" spans="1:3" ht="15">
      <c r="A49" s="5" t="s">
        <v>57</v>
      </c>
      <c r="B49" s="169">
        <v>48</v>
      </c>
      <c r="C49" t="s">
        <v>527</v>
      </c>
    </row>
    <row r="50" spans="1:3" ht="15">
      <c r="A50" s="5" t="s">
        <v>58</v>
      </c>
      <c r="B50" s="169">
        <v>49</v>
      </c>
      <c r="C50" t="s">
        <v>528</v>
      </c>
    </row>
    <row r="51" spans="1:3" ht="15">
      <c r="A51" s="5" t="s">
        <v>59</v>
      </c>
      <c r="B51" s="169">
        <v>50</v>
      </c>
      <c r="C51" t="s">
        <v>529</v>
      </c>
    </row>
    <row r="52" spans="1:3" ht="15">
      <c r="A52" s="5" t="s">
        <v>60</v>
      </c>
      <c r="B52" s="169">
        <v>51</v>
      </c>
      <c r="C52" t="s">
        <v>530</v>
      </c>
    </row>
    <row r="53" spans="1:3" ht="15">
      <c r="A53" s="5" t="s">
        <v>61</v>
      </c>
      <c r="B53" s="169">
        <v>52</v>
      </c>
      <c r="C53" t="s">
        <v>531</v>
      </c>
    </row>
    <row r="54" spans="1:3" ht="15">
      <c r="A54" s="5" t="s">
        <v>62</v>
      </c>
      <c r="B54" s="169">
        <v>53</v>
      </c>
      <c r="C54" t="s">
        <v>532</v>
      </c>
    </row>
    <row r="55" spans="1:3" ht="15">
      <c r="A55" s="5" t="s">
        <v>63</v>
      </c>
      <c r="B55" s="169">
        <v>54</v>
      </c>
      <c r="C55" t="s">
        <v>533</v>
      </c>
    </row>
    <row r="56" spans="1:3" ht="15">
      <c r="A56" s="5" t="s">
        <v>64</v>
      </c>
      <c r="B56" s="169">
        <v>55</v>
      </c>
      <c r="C56" t="s">
        <v>534</v>
      </c>
    </row>
    <row r="57" spans="1:3" ht="15">
      <c r="A57" s="5" t="s">
        <v>65</v>
      </c>
      <c r="B57" s="169">
        <v>56</v>
      </c>
      <c r="C57" t="s">
        <v>535</v>
      </c>
    </row>
    <row r="58" spans="1:3" ht="15">
      <c r="A58" s="5" t="s">
        <v>66</v>
      </c>
      <c r="B58" s="169">
        <v>57</v>
      </c>
      <c r="C58" t="s">
        <v>536</v>
      </c>
    </row>
    <row r="59" spans="1:3" ht="15">
      <c r="A59" s="5" t="s">
        <v>67</v>
      </c>
      <c r="B59" s="169">
        <v>58</v>
      </c>
      <c r="C59" t="s">
        <v>537</v>
      </c>
    </row>
    <row r="60" spans="1:3" ht="15">
      <c r="A60" s="5" t="s">
        <v>68</v>
      </c>
      <c r="B60" s="169">
        <v>59</v>
      </c>
      <c r="C60" t="s">
        <v>538</v>
      </c>
    </row>
    <row r="61" spans="1:3" ht="15">
      <c r="A61" s="5" t="s">
        <v>69</v>
      </c>
      <c r="B61" s="169">
        <v>60</v>
      </c>
      <c r="C61" t="s">
        <v>539</v>
      </c>
    </row>
    <row r="62" spans="1:3" ht="15">
      <c r="A62" s="5" t="s">
        <v>70</v>
      </c>
      <c r="B62" s="169">
        <v>62</v>
      </c>
      <c r="C62" t="s">
        <v>540</v>
      </c>
    </row>
    <row r="63" spans="1:3" ht="15">
      <c r="A63" s="5" t="s">
        <v>71</v>
      </c>
      <c r="B63" s="169">
        <v>63</v>
      </c>
      <c r="C63" t="s">
        <v>541</v>
      </c>
    </row>
    <row r="64" spans="1:3" ht="15">
      <c r="A64" s="5" t="s">
        <v>72</v>
      </c>
      <c r="B64" s="169">
        <v>65</v>
      </c>
      <c r="C64" t="s">
        <v>542</v>
      </c>
    </row>
    <row r="65" spans="1:3" ht="15">
      <c r="A65" s="5" t="s">
        <v>73</v>
      </c>
      <c r="B65" s="169">
        <v>66</v>
      </c>
      <c r="C65" t="s">
        <v>543</v>
      </c>
    </row>
    <row r="66" spans="1:3" ht="15">
      <c r="A66" s="5" t="s">
        <v>74</v>
      </c>
      <c r="B66" s="169">
        <v>67</v>
      </c>
      <c r="C66" t="s">
        <v>544</v>
      </c>
    </row>
    <row r="67" spans="1:3" ht="15">
      <c r="A67" s="5" t="s">
        <v>75</v>
      </c>
      <c r="B67" s="169">
        <v>68</v>
      </c>
      <c r="C67" t="s">
        <v>545</v>
      </c>
    </row>
    <row r="68" spans="1:3" ht="15">
      <c r="A68" s="5" t="s">
        <v>76</v>
      </c>
      <c r="B68" s="169">
        <v>69</v>
      </c>
      <c r="C68" t="s">
        <v>546</v>
      </c>
    </row>
    <row r="69" spans="1:3" ht="15">
      <c r="A69" s="5" t="s">
        <v>77</v>
      </c>
      <c r="B69" s="169">
        <v>70</v>
      </c>
      <c r="C69" t="s">
        <v>547</v>
      </c>
    </row>
    <row r="70" spans="1:3" ht="15">
      <c r="A70" s="5" t="s">
        <v>78</v>
      </c>
      <c r="B70" s="169">
        <v>71</v>
      </c>
      <c r="C70" t="s">
        <v>548</v>
      </c>
    </row>
    <row r="71" spans="1:3" ht="15">
      <c r="A71" s="5" t="s">
        <v>79</v>
      </c>
      <c r="B71" s="169">
        <v>72</v>
      </c>
      <c r="C71" t="s">
        <v>549</v>
      </c>
    </row>
    <row r="72" spans="1:3" ht="15">
      <c r="A72" s="5" t="s">
        <v>80</v>
      </c>
      <c r="B72" s="169">
        <v>73</v>
      </c>
      <c r="C72" t="s">
        <v>550</v>
      </c>
    </row>
    <row r="73" spans="1:3" ht="15">
      <c r="A73" s="5" t="s">
        <v>81</v>
      </c>
      <c r="B73" s="169">
        <v>74</v>
      </c>
      <c r="C73" t="s">
        <v>551</v>
      </c>
    </row>
    <row r="74" spans="1:3" ht="15">
      <c r="A74" s="5" t="s">
        <v>82</v>
      </c>
      <c r="B74" s="169">
        <v>75</v>
      </c>
      <c r="C74" t="s">
        <v>552</v>
      </c>
    </row>
    <row r="75" spans="1:3" ht="15">
      <c r="A75" s="5" t="s">
        <v>83</v>
      </c>
      <c r="B75" s="169">
        <v>77</v>
      </c>
      <c r="C75" t="s">
        <v>553</v>
      </c>
    </row>
    <row r="76" spans="1:3" ht="15">
      <c r="A76" s="5" t="s">
        <v>84</v>
      </c>
      <c r="B76" s="169">
        <v>78</v>
      </c>
      <c r="C76" t="s">
        <v>554</v>
      </c>
    </row>
    <row r="77" spans="1:3" ht="15">
      <c r="A77" s="5" t="s">
        <v>85</v>
      </c>
      <c r="B77" s="169">
        <v>79</v>
      </c>
      <c r="C77" t="s">
        <v>555</v>
      </c>
    </row>
    <row r="78" spans="1:3" ht="15">
      <c r="A78" s="5" t="s">
        <v>86</v>
      </c>
      <c r="B78" s="169">
        <v>80</v>
      </c>
      <c r="C78" t="s">
        <v>556</v>
      </c>
    </row>
    <row r="79" spans="1:3" ht="15">
      <c r="A79" s="5" t="s">
        <v>87</v>
      </c>
      <c r="B79" s="169">
        <v>81</v>
      </c>
      <c r="C79" t="s">
        <v>557</v>
      </c>
    </row>
    <row r="80" spans="1:3" ht="15">
      <c r="A80" s="5" t="s">
        <v>88</v>
      </c>
      <c r="B80" s="169">
        <v>82</v>
      </c>
      <c r="C80" t="s">
        <v>558</v>
      </c>
    </row>
    <row r="81" spans="1:3" ht="15">
      <c r="A81" s="5" t="s">
        <v>89</v>
      </c>
      <c r="B81" s="169">
        <v>83</v>
      </c>
      <c r="C81" t="s">
        <v>559</v>
      </c>
    </row>
    <row r="82" spans="1:3" ht="15">
      <c r="A82" s="5" t="s">
        <v>90</v>
      </c>
      <c r="B82" s="169">
        <v>84</v>
      </c>
      <c r="C82" t="s">
        <v>560</v>
      </c>
    </row>
    <row r="83" spans="1:3" ht="15">
      <c r="A83" s="5" t="s">
        <v>91</v>
      </c>
      <c r="B83" s="169">
        <v>85</v>
      </c>
      <c r="C83" t="s">
        <v>561</v>
      </c>
    </row>
    <row r="84" spans="1:3" ht="15">
      <c r="A84" s="5" t="s">
        <v>92</v>
      </c>
      <c r="B84" s="169">
        <v>86</v>
      </c>
      <c r="C84" t="s">
        <v>562</v>
      </c>
    </row>
    <row r="85" spans="1:3" ht="15">
      <c r="A85" s="5" t="s">
        <v>93</v>
      </c>
      <c r="B85" s="169">
        <v>87</v>
      </c>
      <c r="C85" t="s">
        <v>563</v>
      </c>
    </row>
    <row r="86" spans="1:3" ht="15">
      <c r="A86" s="5" t="s">
        <v>94</v>
      </c>
      <c r="B86" s="169">
        <v>88</v>
      </c>
      <c r="C86" t="s">
        <v>564</v>
      </c>
    </row>
    <row r="87" spans="1:3" ht="15">
      <c r="A87" s="5" t="s">
        <v>95</v>
      </c>
      <c r="B87" s="169">
        <v>89</v>
      </c>
      <c r="C87" t="s">
        <v>565</v>
      </c>
    </row>
    <row r="88" spans="1:3" ht="15">
      <c r="A88" s="5" t="s">
        <v>96</v>
      </c>
      <c r="B88" s="169">
        <v>90</v>
      </c>
      <c r="C88" t="s">
        <v>566</v>
      </c>
    </row>
    <row r="89" spans="1:3" ht="15">
      <c r="A89" s="5" t="s">
        <v>97</v>
      </c>
      <c r="B89" s="169">
        <v>91</v>
      </c>
      <c r="C89" t="s">
        <v>567</v>
      </c>
    </row>
    <row r="90" spans="1:3" ht="15">
      <c r="A90" s="5" t="s">
        <v>98</v>
      </c>
      <c r="B90" s="169">
        <v>92</v>
      </c>
      <c r="C90" t="s">
        <v>568</v>
      </c>
    </row>
    <row r="91" spans="1:3" ht="15">
      <c r="A91" s="5" t="s">
        <v>99</v>
      </c>
      <c r="B91" s="169">
        <v>93</v>
      </c>
      <c r="C91" t="s">
        <v>569</v>
      </c>
    </row>
    <row r="92" spans="1:3" ht="15">
      <c r="A92" s="5" t="s">
        <v>100</v>
      </c>
      <c r="B92" s="169">
        <v>94</v>
      </c>
      <c r="C92" t="s">
        <v>570</v>
      </c>
    </row>
    <row r="93" spans="1:3" ht="15">
      <c r="A93" s="5" t="s">
        <v>101</v>
      </c>
      <c r="B93" s="169">
        <v>95</v>
      </c>
      <c r="C93" t="s">
        <v>571</v>
      </c>
    </row>
    <row r="94" spans="1:3" ht="15">
      <c r="A94" s="5" t="s">
        <v>102</v>
      </c>
      <c r="B94" s="169">
        <v>96</v>
      </c>
      <c r="C94" t="s">
        <v>572</v>
      </c>
    </row>
    <row r="95" spans="1:3" ht="15">
      <c r="A95" s="5" t="s">
        <v>103</v>
      </c>
      <c r="B95" s="169">
        <v>97</v>
      </c>
      <c r="C95" t="s">
        <v>573</v>
      </c>
    </row>
    <row r="96" spans="1:3" ht="15">
      <c r="A96" s="5" t="s">
        <v>104</v>
      </c>
      <c r="B96" s="169">
        <v>98</v>
      </c>
      <c r="C96" t="s">
        <v>574</v>
      </c>
    </row>
    <row r="97" spans="1:3" ht="15">
      <c r="A97" s="5" t="s">
        <v>105</v>
      </c>
      <c r="B97" s="169">
        <v>101</v>
      </c>
      <c r="C97" t="s">
        <v>575</v>
      </c>
    </row>
    <row r="98" spans="1:3" ht="15">
      <c r="A98" s="5" t="s">
        <v>106</v>
      </c>
      <c r="B98" s="169">
        <v>102</v>
      </c>
      <c r="C98" t="s">
        <v>576</v>
      </c>
    </row>
    <row r="99" spans="1:3" ht="15">
      <c r="A99" s="5" t="s">
        <v>107</v>
      </c>
      <c r="B99" s="169">
        <v>103</v>
      </c>
      <c r="C99" t="s">
        <v>577</v>
      </c>
    </row>
    <row r="100" spans="1:3" ht="15">
      <c r="A100" s="5" t="s">
        <v>108</v>
      </c>
      <c r="B100" s="169">
        <v>104</v>
      </c>
      <c r="C100" t="s">
        <v>578</v>
      </c>
    </row>
    <row r="101" spans="1:3" ht="15">
      <c r="A101" s="5" t="s">
        <v>109</v>
      </c>
      <c r="B101" s="169">
        <v>106</v>
      </c>
      <c r="C101" t="s">
        <v>579</v>
      </c>
    </row>
    <row r="102" spans="1:3" ht="15">
      <c r="A102" s="5" t="s">
        <v>110</v>
      </c>
      <c r="B102" s="169">
        <v>107</v>
      </c>
      <c r="C102" t="s">
        <v>580</v>
      </c>
    </row>
    <row r="103" spans="1:3" ht="15">
      <c r="A103" s="5" t="s">
        <v>111</v>
      </c>
      <c r="B103" s="169">
        <v>108</v>
      </c>
      <c r="C103" t="s">
        <v>581</v>
      </c>
    </row>
    <row r="104" spans="1:3" ht="15">
      <c r="A104" s="5" t="s">
        <v>112</v>
      </c>
      <c r="B104" s="169">
        <v>109</v>
      </c>
      <c r="C104" t="s">
        <v>582</v>
      </c>
    </row>
    <row r="105" spans="1:3" ht="15">
      <c r="A105" s="5" t="s">
        <v>113</v>
      </c>
      <c r="B105" s="169">
        <v>110</v>
      </c>
      <c r="C105" t="s">
        <v>583</v>
      </c>
    </row>
    <row r="106" spans="1:3" ht="15">
      <c r="A106" s="5" t="s">
        <v>114</v>
      </c>
      <c r="B106" s="169">
        <v>111</v>
      </c>
      <c r="C106" t="s">
        <v>584</v>
      </c>
    </row>
    <row r="107" spans="1:3" ht="15">
      <c r="A107" s="5" t="s">
        <v>115</v>
      </c>
      <c r="B107" s="169">
        <v>112</v>
      </c>
      <c r="C107" t="s">
        <v>585</v>
      </c>
    </row>
    <row r="108" spans="1:3" ht="15">
      <c r="A108" s="5" t="s">
        <v>116</v>
      </c>
      <c r="B108" s="169">
        <v>113</v>
      </c>
      <c r="C108" t="s">
        <v>586</v>
      </c>
    </row>
    <row r="109" spans="1:3" ht="15">
      <c r="A109" s="5" t="s">
        <v>117</v>
      </c>
      <c r="B109" s="169">
        <v>114</v>
      </c>
      <c r="C109" t="s">
        <v>587</v>
      </c>
    </row>
    <row r="110" spans="1:3" ht="15">
      <c r="A110" s="5" t="s">
        <v>118</v>
      </c>
      <c r="B110" s="169">
        <v>115</v>
      </c>
      <c r="C110" t="s">
        <v>588</v>
      </c>
    </row>
    <row r="111" spans="1:3" ht="15">
      <c r="A111" s="5" t="s">
        <v>119</v>
      </c>
      <c r="B111" s="169">
        <v>116</v>
      </c>
      <c r="C111" t="s">
        <v>589</v>
      </c>
    </row>
    <row r="112" spans="1:3" ht="15">
      <c r="A112" s="5" t="s">
        <v>120</v>
      </c>
      <c r="B112" s="169">
        <v>117</v>
      </c>
      <c r="C112" t="s">
        <v>590</v>
      </c>
    </row>
    <row r="113" spans="1:3" ht="15">
      <c r="A113" s="5" t="s">
        <v>121</v>
      </c>
      <c r="B113" s="169">
        <v>118</v>
      </c>
      <c r="C113" t="s">
        <v>591</v>
      </c>
    </row>
    <row r="114" spans="1:3" ht="15">
      <c r="A114" s="5" t="s">
        <v>122</v>
      </c>
      <c r="B114" s="169">
        <v>119</v>
      </c>
      <c r="C114" t="s">
        <v>592</v>
      </c>
    </row>
    <row r="115" spans="1:3" ht="15">
      <c r="A115" s="5" t="s">
        <v>123</v>
      </c>
      <c r="B115" s="169">
        <v>120</v>
      </c>
      <c r="C115" t="s">
        <v>593</v>
      </c>
    </row>
    <row r="116" spans="1:3" ht="15">
      <c r="A116" s="5" t="s">
        <v>124</v>
      </c>
      <c r="B116" s="169">
        <v>121</v>
      </c>
      <c r="C116" t="s">
        <v>594</v>
      </c>
    </row>
    <row r="117" spans="1:3" ht="15">
      <c r="A117" s="5" t="s">
        <v>125</v>
      </c>
      <c r="B117" s="169">
        <v>122</v>
      </c>
      <c r="C117" t="s">
        <v>595</v>
      </c>
    </row>
    <row r="118" spans="1:3" ht="15">
      <c r="A118" s="5" t="s">
        <v>126</v>
      </c>
      <c r="B118" s="169">
        <v>123</v>
      </c>
      <c r="C118" t="s">
        <v>596</v>
      </c>
    </row>
    <row r="119" spans="1:3" ht="15">
      <c r="A119" s="5" t="s">
        <v>127</v>
      </c>
      <c r="B119" s="169">
        <v>124</v>
      </c>
      <c r="C119" t="s">
        <v>597</v>
      </c>
    </row>
    <row r="120" spans="1:3" ht="15">
      <c r="A120" s="5" t="s">
        <v>128</v>
      </c>
      <c r="B120" s="169">
        <v>126</v>
      </c>
      <c r="C120" t="s">
        <v>598</v>
      </c>
    </row>
    <row r="121" spans="1:3" ht="15">
      <c r="A121" s="5" t="s">
        <v>129</v>
      </c>
      <c r="B121" s="169">
        <v>127</v>
      </c>
      <c r="C121" t="s">
        <v>599</v>
      </c>
    </row>
    <row r="122" spans="1:3" ht="15">
      <c r="A122" s="5" t="s">
        <v>130</v>
      </c>
      <c r="B122" s="169">
        <v>128</v>
      </c>
      <c r="C122" t="s">
        <v>600</v>
      </c>
    </row>
    <row r="123" spans="1:3" ht="15">
      <c r="A123" s="5" t="s">
        <v>131</v>
      </c>
      <c r="B123" s="169">
        <v>130</v>
      </c>
      <c r="C123" t="s">
        <v>601</v>
      </c>
    </row>
    <row r="124" spans="1:3" ht="15">
      <c r="A124" s="5" t="s">
        <v>451</v>
      </c>
      <c r="B124" s="169">
        <v>131</v>
      </c>
      <c r="C124" t="s">
        <v>602</v>
      </c>
    </row>
    <row r="125" spans="1:3" ht="15">
      <c r="A125" s="5" t="s">
        <v>132</v>
      </c>
      <c r="B125" s="169">
        <v>132</v>
      </c>
      <c r="C125" t="s">
        <v>603</v>
      </c>
    </row>
    <row r="126" spans="1:3" ht="15">
      <c r="A126" s="5" t="s">
        <v>133</v>
      </c>
      <c r="B126" s="169">
        <v>134</v>
      </c>
      <c r="C126" t="s">
        <v>604</v>
      </c>
    </row>
    <row r="127" spans="1:3" ht="15">
      <c r="A127" s="5" t="s">
        <v>134</v>
      </c>
      <c r="B127" s="169">
        <v>135</v>
      </c>
      <c r="C127" t="s">
        <v>605</v>
      </c>
    </row>
    <row r="128" spans="1:3" ht="15">
      <c r="A128" s="5" t="s">
        <v>135</v>
      </c>
      <c r="B128" s="169">
        <v>136</v>
      </c>
      <c r="C128" t="s">
        <v>606</v>
      </c>
    </row>
    <row r="129" spans="1:3" ht="15">
      <c r="A129" s="5" t="s">
        <v>136</v>
      </c>
      <c r="B129" s="169">
        <v>137</v>
      </c>
      <c r="C129" t="s">
        <v>607</v>
      </c>
    </row>
    <row r="130" spans="1:3" ht="15">
      <c r="A130" s="5" t="s">
        <v>439</v>
      </c>
      <c r="B130" s="169">
        <v>138</v>
      </c>
      <c r="C130" t="s">
        <v>608</v>
      </c>
    </row>
    <row r="131" spans="1:3" ht="15">
      <c r="A131" s="5" t="s">
        <v>137</v>
      </c>
      <c r="B131" s="169">
        <v>139</v>
      </c>
      <c r="C131" t="s">
        <v>609</v>
      </c>
    </row>
    <row r="132" spans="1:3" ht="15">
      <c r="A132" s="5" t="s">
        <v>440</v>
      </c>
      <c r="B132" s="169">
        <v>140</v>
      </c>
      <c r="C132" t="s">
        <v>610</v>
      </c>
    </row>
    <row r="133" spans="1:3" ht="15">
      <c r="A133" s="5" t="s">
        <v>138</v>
      </c>
      <c r="B133" s="169">
        <v>142</v>
      </c>
      <c r="C133" t="s">
        <v>611</v>
      </c>
    </row>
    <row r="134" spans="1:3" ht="15">
      <c r="A134" s="5" t="s">
        <v>139</v>
      </c>
      <c r="B134" s="169">
        <v>143</v>
      </c>
      <c r="C134" t="s">
        <v>612</v>
      </c>
    </row>
    <row r="135" spans="1:3" ht="15">
      <c r="A135" s="5" t="s">
        <v>140</v>
      </c>
      <c r="B135" s="169">
        <v>144</v>
      </c>
      <c r="C135" t="s">
        <v>613</v>
      </c>
    </row>
    <row r="136" spans="1:3" ht="15">
      <c r="A136" s="5" t="s">
        <v>141</v>
      </c>
      <c r="B136" s="169">
        <v>202</v>
      </c>
      <c r="C136" t="s">
        <v>614</v>
      </c>
    </row>
    <row r="137" spans="1:3" ht="15">
      <c r="A137" s="5" t="s">
        <v>142</v>
      </c>
      <c r="B137" s="169">
        <v>207</v>
      </c>
      <c r="C137" t="s">
        <v>615</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8"/>
  <dimension ref="A1:U594"/>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6.57421875" style="146" bestFit="1" customWidth="1"/>
    <col min="2" max="2" width="16.7109375" style="146" customWidth="1"/>
    <col min="3" max="14" width="16.7109375" style="138" customWidth="1"/>
    <col min="15" max="15" width="20.00390625" style="138" bestFit="1" customWidth="1"/>
    <col min="16" max="16" width="17.7109375" style="141" bestFit="1" customWidth="1"/>
    <col min="17" max="17" width="16.28125" style="0" bestFit="1" customWidth="1"/>
    <col min="18" max="18" width="9.140625" style="138" customWidth="1"/>
    <col min="19" max="20" width="17.7109375" style="0" bestFit="1" customWidth="1"/>
    <col min="22" max="55" width="14.7109375" style="138" customWidth="1"/>
    <col min="56" max="16384" width="9.140625" style="138" customWidth="1"/>
  </cols>
  <sheetData>
    <row r="1" spans="1:21" s="134" customFormat="1" ht="13.5" thickBot="1">
      <c r="A1" s="132" t="s">
        <v>453</v>
      </c>
      <c r="B1" s="133" t="s">
        <v>454</v>
      </c>
      <c r="C1" s="134" t="s">
        <v>455</v>
      </c>
      <c r="D1" s="134" t="s">
        <v>456</v>
      </c>
      <c r="E1" s="134" t="s">
        <v>457</v>
      </c>
      <c r="F1" s="134" t="s">
        <v>458</v>
      </c>
      <c r="G1" s="134" t="s">
        <v>459</v>
      </c>
      <c r="H1" s="134" t="s">
        <v>460</v>
      </c>
      <c r="I1" s="134" t="s">
        <v>461</v>
      </c>
      <c r="J1" s="134" t="s">
        <v>462</v>
      </c>
      <c r="K1" s="134" t="s">
        <v>463</v>
      </c>
      <c r="L1" s="134" t="s">
        <v>464</v>
      </c>
      <c r="M1" s="134" t="s">
        <v>465</v>
      </c>
      <c r="N1" s="134" t="s">
        <v>466</v>
      </c>
      <c r="O1" s="134" t="s">
        <v>467</v>
      </c>
      <c r="P1" s="135" t="s">
        <v>468</v>
      </c>
      <c r="Q1" s="149" t="s">
        <v>286</v>
      </c>
      <c r="S1" s="149" t="s">
        <v>470</v>
      </c>
      <c r="T1" s="149" t="s">
        <v>471</v>
      </c>
      <c r="U1" s="161" t="s">
        <v>618</v>
      </c>
    </row>
    <row r="2" spans="1:20" ht="12.75">
      <c r="A2" s="136">
        <v>1</v>
      </c>
      <c r="B2" s="137">
        <v>22637835.51</v>
      </c>
      <c r="C2" s="138">
        <v>387185.69</v>
      </c>
      <c r="D2" s="138">
        <v>136539.14</v>
      </c>
      <c r="E2" s="138">
        <v>450895.12</v>
      </c>
      <c r="F2" s="138">
        <v>0</v>
      </c>
      <c r="G2" s="139">
        <v>22437586.94</v>
      </c>
      <c r="H2" s="138">
        <v>5379713.58</v>
      </c>
      <c r="I2" s="138">
        <v>6331880.180000001</v>
      </c>
      <c r="J2" s="138">
        <v>0</v>
      </c>
      <c r="K2" s="138">
        <v>0</v>
      </c>
      <c r="L2" s="138">
        <v>9544.99</v>
      </c>
      <c r="M2" s="140">
        <v>6322335.19</v>
      </c>
      <c r="N2" s="139">
        <v>13540899.970000029</v>
      </c>
      <c r="O2" s="141">
        <v>0</v>
      </c>
      <c r="P2" s="141">
        <v>47680535.68000003</v>
      </c>
      <c r="Q2" s="150">
        <v>5142.27</v>
      </c>
      <c r="S2" s="150">
        <v>5501579.14743564</v>
      </c>
      <c r="T2" s="150">
        <v>5513771.458663872</v>
      </c>
    </row>
    <row r="3" spans="1:20" ht="12.75">
      <c r="A3" s="136">
        <v>2</v>
      </c>
      <c r="B3" s="137">
        <v>28106097.120000005</v>
      </c>
      <c r="C3" s="138">
        <v>262035.34</v>
      </c>
      <c r="D3" s="138">
        <v>344840.18</v>
      </c>
      <c r="E3" s="138">
        <v>38886.56</v>
      </c>
      <c r="F3" s="138">
        <v>1226403.01</v>
      </c>
      <c r="G3" s="139">
        <v>26758002.710000005</v>
      </c>
      <c r="H3" s="138">
        <v>10691461.04</v>
      </c>
      <c r="I3" s="138">
        <v>5279716.19</v>
      </c>
      <c r="J3" s="138">
        <v>-512796.2</v>
      </c>
      <c r="K3" s="138">
        <v>-679842.46</v>
      </c>
      <c r="L3" s="138">
        <v>301167.29</v>
      </c>
      <c r="M3" s="140">
        <v>5145595.16</v>
      </c>
      <c r="N3" s="139">
        <v>87506667.82999986</v>
      </c>
      <c r="O3" s="141">
        <v>0</v>
      </c>
      <c r="P3" s="141">
        <v>130101726.73999986</v>
      </c>
      <c r="Q3" s="151">
        <v>12371.9</v>
      </c>
      <c r="S3" s="151">
        <v>11818378.936147414</v>
      </c>
      <c r="T3" s="151">
        <v>13054802.740567347</v>
      </c>
    </row>
    <row r="4" spans="1:20" ht="12.75">
      <c r="A4" s="136">
        <v>3</v>
      </c>
      <c r="B4" s="137">
        <v>13318461.03</v>
      </c>
      <c r="C4" s="138">
        <v>138797.2</v>
      </c>
      <c r="D4" s="138">
        <v>350719.82</v>
      </c>
      <c r="E4" s="138">
        <v>703332.39</v>
      </c>
      <c r="F4" s="138">
        <v>0</v>
      </c>
      <c r="G4" s="139">
        <v>12403206.019999998</v>
      </c>
      <c r="H4" s="138">
        <v>2284697.31</v>
      </c>
      <c r="I4" s="138">
        <v>1789341.05</v>
      </c>
      <c r="J4" s="138">
        <v>0</v>
      </c>
      <c r="K4" s="138">
        <v>0</v>
      </c>
      <c r="L4" s="138">
        <v>0</v>
      </c>
      <c r="M4" s="140">
        <v>1789341.05</v>
      </c>
      <c r="N4" s="139">
        <v>9125132.51000002</v>
      </c>
      <c r="O4" s="141">
        <v>0</v>
      </c>
      <c r="P4" s="141">
        <v>25602376.89000002</v>
      </c>
      <c r="Q4" s="151">
        <v>2912.8</v>
      </c>
      <c r="S4" s="151">
        <v>2475826.6344638662</v>
      </c>
      <c r="T4" s="151">
        <v>2648145.4569452936</v>
      </c>
    </row>
    <row r="5" spans="1:20" ht="12.75">
      <c r="A5" s="136">
        <v>4</v>
      </c>
      <c r="B5" s="137">
        <v>7000105.87</v>
      </c>
      <c r="C5" s="138">
        <v>0</v>
      </c>
      <c r="D5" s="138">
        <v>0</v>
      </c>
      <c r="E5" s="138">
        <v>0</v>
      </c>
      <c r="F5" s="138">
        <v>0</v>
      </c>
      <c r="G5" s="139">
        <v>7000105.87</v>
      </c>
      <c r="H5" s="138">
        <v>1475764.74</v>
      </c>
      <c r="I5" s="138">
        <v>1163082</v>
      </c>
      <c r="J5" s="138">
        <v>27320.21</v>
      </c>
      <c r="K5" s="138">
        <v>0</v>
      </c>
      <c r="L5" s="138">
        <v>9477.46</v>
      </c>
      <c r="M5" s="140">
        <v>1180924.75</v>
      </c>
      <c r="N5" s="139">
        <v>3850134.4200000074</v>
      </c>
      <c r="O5" s="141">
        <v>0</v>
      </c>
      <c r="P5" s="141">
        <v>13506929.780000007</v>
      </c>
      <c r="Q5" s="151">
        <v>1752.25</v>
      </c>
      <c r="S5" s="151">
        <v>1625027.1037202696</v>
      </c>
      <c r="T5" s="151">
        <v>1767136.0343931236</v>
      </c>
    </row>
    <row r="6" spans="1:20" ht="12.75">
      <c r="A6" s="136">
        <v>5</v>
      </c>
      <c r="B6" s="137">
        <v>18620660.689999998</v>
      </c>
      <c r="C6" s="138">
        <v>47876.82</v>
      </c>
      <c r="D6" s="138">
        <v>0</v>
      </c>
      <c r="E6" s="138">
        <v>166805</v>
      </c>
      <c r="F6" s="138">
        <v>0</v>
      </c>
      <c r="G6" s="139">
        <v>18501732.509999998</v>
      </c>
      <c r="H6" s="138">
        <v>4030106.28</v>
      </c>
      <c r="I6" s="138">
        <v>3271813.01</v>
      </c>
      <c r="J6" s="138">
        <v>0</v>
      </c>
      <c r="K6" s="138">
        <v>0</v>
      </c>
      <c r="L6" s="138">
        <v>165246.82</v>
      </c>
      <c r="M6" s="140">
        <v>3106566.19</v>
      </c>
      <c r="N6" s="139">
        <v>10798199.549999986</v>
      </c>
      <c r="O6" s="141">
        <v>0</v>
      </c>
      <c r="P6" s="141">
        <v>36436604.52999999</v>
      </c>
      <c r="Q6" s="151">
        <v>4628.06</v>
      </c>
      <c r="S6" s="151">
        <v>4385484.853923812</v>
      </c>
      <c r="T6" s="151">
        <v>4712078.470087841</v>
      </c>
    </row>
    <row r="7" spans="1:20" ht="12.75">
      <c r="A7" s="136">
        <v>6</v>
      </c>
      <c r="B7" s="137">
        <v>9856897.77</v>
      </c>
      <c r="C7" s="138">
        <v>0</v>
      </c>
      <c r="D7" s="138">
        <v>0</v>
      </c>
      <c r="E7" s="138">
        <v>0</v>
      </c>
      <c r="F7" s="138">
        <v>0</v>
      </c>
      <c r="G7" s="139">
        <v>9856897.77</v>
      </c>
      <c r="H7" s="138">
        <v>1871566.38</v>
      </c>
      <c r="I7" s="138">
        <v>1562588.68</v>
      </c>
      <c r="J7" s="138">
        <v>0</v>
      </c>
      <c r="K7" s="138">
        <v>0</v>
      </c>
      <c r="L7" s="138">
        <v>0</v>
      </c>
      <c r="M7" s="140">
        <v>1562588.68</v>
      </c>
      <c r="N7" s="139">
        <v>4037369.5200000256</v>
      </c>
      <c r="O7" s="141">
        <v>0</v>
      </c>
      <c r="P7" s="141">
        <v>17328422.350000024</v>
      </c>
      <c r="Q7" s="151">
        <v>2269.29</v>
      </c>
      <c r="S7" s="151">
        <v>2051973.7773297837</v>
      </c>
      <c r="T7" s="151">
        <v>2222565.8810948264</v>
      </c>
    </row>
    <row r="8" spans="1:20" ht="12.75">
      <c r="A8" s="136">
        <v>7</v>
      </c>
      <c r="B8" s="137">
        <v>25769548.4</v>
      </c>
      <c r="C8" s="138">
        <v>0</v>
      </c>
      <c r="D8" s="138">
        <v>0</v>
      </c>
      <c r="E8" s="138">
        <v>1749463</v>
      </c>
      <c r="F8" s="138">
        <v>0</v>
      </c>
      <c r="G8" s="139">
        <v>24020085.4</v>
      </c>
      <c r="H8" s="138">
        <v>15625499.76</v>
      </c>
      <c r="I8" s="138">
        <v>14111624.080000002</v>
      </c>
      <c r="J8" s="138">
        <v>1627073</v>
      </c>
      <c r="K8" s="138">
        <v>1529986</v>
      </c>
      <c r="L8" s="138">
        <v>468450.89</v>
      </c>
      <c r="M8" s="140">
        <v>13740260.190000001</v>
      </c>
      <c r="N8" s="139">
        <v>249235903.04000035</v>
      </c>
      <c r="O8" s="141">
        <v>24934</v>
      </c>
      <c r="P8" s="141">
        <v>302621748.39000034</v>
      </c>
      <c r="Q8" s="151">
        <v>17817.58</v>
      </c>
      <c r="S8" s="151">
        <v>17170681.438643496</v>
      </c>
      <c r="T8" s="151">
        <v>18641067.714155648</v>
      </c>
    </row>
    <row r="9" spans="1:20" ht="12.75">
      <c r="A9" s="136">
        <v>8</v>
      </c>
      <c r="B9" s="137">
        <v>40561971.019999996</v>
      </c>
      <c r="C9" s="138">
        <v>0</v>
      </c>
      <c r="D9" s="138">
        <v>0</v>
      </c>
      <c r="E9" s="138">
        <v>253957.93</v>
      </c>
      <c r="F9" s="138">
        <v>330142</v>
      </c>
      <c r="G9" s="139">
        <v>39977871.089999996</v>
      </c>
      <c r="H9" s="138">
        <v>9188697.780000001</v>
      </c>
      <c r="I9" s="138">
        <v>8101223.530000001</v>
      </c>
      <c r="J9" s="138">
        <v>0</v>
      </c>
      <c r="K9" s="138">
        <v>-9845.3</v>
      </c>
      <c r="L9" s="138">
        <v>294924.43</v>
      </c>
      <c r="M9" s="140">
        <v>7816144.400000001</v>
      </c>
      <c r="N9" s="139">
        <v>25536923.759999976</v>
      </c>
      <c r="O9" s="141">
        <v>0</v>
      </c>
      <c r="P9" s="141">
        <v>82519637.02999997</v>
      </c>
      <c r="Q9" s="151">
        <v>10748.45</v>
      </c>
      <c r="S9" s="151">
        <v>10554554.905933747</v>
      </c>
      <c r="T9" s="151">
        <v>11970811.476226777</v>
      </c>
    </row>
    <row r="10" spans="1:20" ht="12.75">
      <c r="A10" s="136">
        <v>9</v>
      </c>
      <c r="B10" s="137">
        <v>1173135.2</v>
      </c>
      <c r="C10" s="138">
        <v>0</v>
      </c>
      <c r="D10" s="138">
        <v>0</v>
      </c>
      <c r="E10" s="138">
        <v>0</v>
      </c>
      <c r="F10" s="138">
        <v>0</v>
      </c>
      <c r="G10" s="139">
        <v>1173135.2</v>
      </c>
      <c r="H10" s="138">
        <v>635639.4</v>
      </c>
      <c r="I10" s="138">
        <v>752842.42</v>
      </c>
      <c r="J10" s="138">
        <v>0</v>
      </c>
      <c r="K10" s="138">
        <v>0</v>
      </c>
      <c r="L10" s="138">
        <v>0</v>
      </c>
      <c r="M10" s="140">
        <v>752842.42</v>
      </c>
      <c r="N10" s="139">
        <v>6781117.889999994</v>
      </c>
      <c r="O10" s="141">
        <v>0</v>
      </c>
      <c r="P10" s="141">
        <v>9342734.909999995</v>
      </c>
      <c r="Q10" s="151">
        <v>778.39</v>
      </c>
      <c r="S10" s="151">
        <v>718538.8764189103</v>
      </c>
      <c r="T10" s="151">
        <v>801692.9885760309</v>
      </c>
    </row>
    <row r="11" spans="1:20" ht="12.75">
      <c r="A11" s="136">
        <v>10</v>
      </c>
      <c r="B11" s="137">
        <v>34261602.89</v>
      </c>
      <c r="C11" s="138">
        <v>24602.95</v>
      </c>
      <c r="D11" s="138">
        <v>28397.37</v>
      </c>
      <c r="E11" s="138">
        <v>891250.9</v>
      </c>
      <c r="F11" s="138">
        <v>0</v>
      </c>
      <c r="G11" s="139">
        <v>33366557.570000008</v>
      </c>
      <c r="H11" s="138">
        <v>7826613.36</v>
      </c>
      <c r="I11" s="138">
        <v>5924681.259999999</v>
      </c>
      <c r="J11" s="138">
        <v>0</v>
      </c>
      <c r="K11" s="138">
        <v>0</v>
      </c>
      <c r="L11" s="138">
        <v>304627.03</v>
      </c>
      <c r="M11" s="140">
        <v>5620054.229999999</v>
      </c>
      <c r="N11" s="139">
        <v>25106696.859999992</v>
      </c>
      <c r="O11" s="141">
        <v>5333841</v>
      </c>
      <c r="P11" s="141">
        <v>71919922.02</v>
      </c>
      <c r="Q11" s="151">
        <v>9912.96</v>
      </c>
      <c r="S11" s="151">
        <v>8876159.468012286</v>
      </c>
      <c r="T11" s="151">
        <v>9944914.70890217</v>
      </c>
    </row>
    <row r="12" spans="1:20" ht="12.75">
      <c r="A12" s="136">
        <v>11</v>
      </c>
      <c r="B12" s="137">
        <v>4427066.91</v>
      </c>
      <c r="C12" s="138">
        <v>232680</v>
      </c>
      <c r="D12" s="138">
        <v>151716</v>
      </c>
      <c r="E12" s="138">
        <v>90303.25</v>
      </c>
      <c r="F12" s="138">
        <v>0</v>
      </c>
      <c r="G12" s="139">
        <v>4417727.66</v>
      </c>
      <c r="H12" s="138">
        <v>719513.32</v>
      </c>
      <c r="I12" s="138">
        <v>615723.74</v>
      </c>
      <c r="J12" s="138">
        <v>0</v>
      </c>
      <c r="K12" s="138">
        <v>0</v>
      </c>
      <c r="L12" s="138">
        <v>0</v>
      </c>
      <c r="M12" s="140">
        <v>615723.74</v>
      </c>
      <c r="N12" s="139">
        <v>1801943.56</v>
      </c>
      <c r="O12" s="141">
        <v>0</v>
      </c>
      <c r="P12" s="141">
        <v>7554908.2799999975</v>
      </c>
      <c r="Q12" s="151">
        <v>893.01</v>
      </c>
      <c r="S12" s="151">
        <v>790470.1094726871</v>
      </c>
      <c r="T12" s="151">
        <v>857982.0707526458</v>
      </c>
    </row>
    <row r="13" spans="1:20" ht="12.75">
      <c r="A13" s="136">
        <v>12</v>
      </c>
      <c r="B13" s="137">
        <v>16217132.459999999</v>
      </c>
      <c r="C13" s="138">
        <v>0</v>
      </c>
      <c r="D13" s="138">
        <v>0</v>
      </c>
      <c r="E13" s="138">
        <v>391298.15</v>
      </c>
      <c r="F13" s="138">
        <v>0</v>
      </c>
      <c r="G13" s="139">
        <v>15825834.309999999</v>
      </c>
      <c r="H13" s="138">
        <v>4225275.46</v>
      </c>
      <c r="I13" s="138">
        <v>1876921.37</v>
      </c>
      <c r="J13" s="138">
        <v>0</v>
      </c>
      <c r="K13" s="138">
        <v>0</v>
      </c>
      <c r="L13" s="138">
        <v>54940.19</v>
      </c>
      <c r="M13" s="140">
        <v>1821981.18</v>
      </c>
      <c r="N13" s="139">
        <v>17187201.879999977</v>
      </c>
      <c r="O13" s="141">
        <v>96899.3</v>
      </c>
      <c r="P13" s="141">
        <v>39060292.829999976</v>
      </c>
      <c r="Q13" s="151">
        <v>4773.41</v>
      </c>
      <c r="S13" s="151">
        <v>4738179.932122976</v>
      </c>
      <c r="T13" s="151">
        <v>5308231.0222310815</v>
      </c>
    </row>
    <row r="14" spans="1:20" ht="12.75">
      <c r="A14" s="136">
        <v>13</v>
      </c>
      <c r="B14" s="137">
        <v>11766215.45</v>
      </c>
      <c r="C14" s="138">
        <v>0</v>
      </c>
      <c r="D14" s="138">
        <v>0</v>
      </c>
      <c r="E14" s="138">
        <v>4856.59</v>
      </c>
      <c r="F14" s="138">
        <v>0</v>
      </c>
      <c r="G14" s="139">
        <v>11761358.86</v>
      </c>
      <c r="H14" s="138">
        <v>2151890.48</v>
      </c>
      <c r="I14" s="138">
        <v>2979921.18</v>
      </c>
      <c r="J14" s="138">
        <v>0</v>
      </c>
      <c r="K14" s="138">
        <v>0</v>
      </c>
      <c r="L14" s="138">
        <v>17761.68</v>
      </c>
      <c r="M14" s="140">
        <v>2962159.5</v>
      </c>
      <c r="N14" s="139">
        <v>5105756.509999979</v>
      </c>
      <c r="O14" s="141">
        <v>0</v>
      </c>
      <c r="P14" s="141">
        <v>21981165.34999998</v>
      </c>
      <c r="Q14" s="151">
        <v>2208.96</v>
      </c>
      <c r="S14" s="151">
        <v>2328870.3518808815</v>
      </c>
      <c r="T14" s="151">
        <v>2517657.130081323</v>
      </c>
    </row>
    <row r="15" spans="1:20" ht="12.75">
      <c r="A15" s="136">
        <v>14</v>
      </c>
      <c r="B15" s="137">
        <v>16502571.19</v>
      </c>
      <c r="C15" s="138">
        <v>0</v>
      </c>
      <c r="D15" s="138">
        <v>0</v>
      </c>
      <c r="E15" s="138">
        <v>0</v>
      </c>
      <c r="F15" s="138">
        <v>0</v>
      </c>
      <c r="G15" s="139">
        <v>16502571.19</v>
      </c>
      <c r="H15" s="138">
        <v>2778236.3</v>
      </c>
      <c r="I15" s="138">
        <v>4462884.86</v>
      </c>
      <c r="J15" s="138">
        <v>0</v>
      </c>
      <c r="K15" s="138">
        <v>0</v>
      </c>
      <c r="L15" s="138">
        <v>0</v>
      </c>
      <c r="M15" s="140">
        <v>4462884.86</v>
      </c>
      <c r="N15" s="139">
        <v>8524313.20000001</v>
      </c>
      <c r="O15" s="141">
        <v>0</v>
      </c>
      <c r="P15" s="141">
        <v>32268005.55000001</v>
      </c>
      <c r="Q15" s="151">
        <v>3499.53</v>
      </c>
      <c r="S15" s="151">
        <v>3058237.585963801</v>
      </c>
      <c r="T15" s="151">
        <v>3326173.0377090643</v>
      </c>
    </row>
    <row r="16" spans="1:20" ht="12.75">
      <c r="A16" s="136">
        <v>15</v>
      </c>
      <c r="B16" s="137">
        <v>10448714.76</v>
      </c>
      <c r="C16" s="138">
        <v>0</v>
      </c>
      <c r="D16" s="138">
        <v>480023.46</v>
      </c>
      <c r="E16" s="138">
        <v>70791.98</v>
      </c>
      <c r="F16" s="138">
        <v>0</v>
      </c>
      <c r="G16" s="139">
        <v>9897899.319999998</v>
      </c>
      <c r="H16" s="138">
        <v>1915929.42</v>
      </c>
      <c r="I16" s="138">
        <v>2617703.25</v>
      </c>
      <c r="J16" s="138">
        <v>0</v>
      </c>
      <c r="K16" s="138">
        <v>0</v>
      </c>
      <c r="L16" s="138">
        <v>24412.09</v>
      </c>
      <c r="M16" s="140">
        <v>2593291.16</v>
      </c>
      <c r="N16" s="139">
        <v>4768090.88</v>
      </c>
      <c r="O16" s="141">
        <v>0</v>
      </c>
      <c r="P16" s="141">
        <v>19175210.78</v>
      </c>
      <c r="Q16" s="151">
        <v>2152.89</v>
      </c>
      <c r="S16" s="151">
        <v>2167991.8951584557</v>
      </c>
      <c r="T16" s="151">
        <v>2422989.128238834</v>
      </c>
    </row>
    <row r="17" spans="1:20" ht="12.75">
      <c r="A17" s="136">
        <v>16</v>
      </c>
      <c r="B17" s="137">
        <v>34246807.35000001</v>
      </c>
      <c r="C17" s="138">
        <v>0</v>
      </c>
      <c r="D17" s="138">
        <v>0</v>
      </c>
      <c r="E17" s="138">
        <v>0</v>
      </c>
      <c r="F17" s="138">
        <v>0</v>
      </c>
      <c r="G17" s="139">
        <v>34246807.35000001</v>
      </c>
      <c r="H17" s="138">
        <v>7270165.52</v>
      </c>
      <c r="I17" s="138">
        <v>4817776.24</v>
      </c>
      <c r="J17" s="138">
        <v>0</v>
      </c>
      <c r="K17" s="138">
        <v>0</v>
      </c>
      <c r="L17" s="138">
        <v>0</v>
      </c>
      <c r="M17" s="140">
        <v>4817776.24</v>
      </c>
      <c r="N17" s="139">
        <v>19114015.049999982</v>
      </c>
      <c r="O17" s="141">
        <v>0</v>
      </c>
      <c r="P17" s="141">
        <v>65448764.15999999</v>
      </c>
      <c r="Q17" s="151">
        <v>8669.65</v>
      </c>
      <c r="S17" s="151">
        <v>8183144.577515684</v>
      </c>
      <c r="T17" s="151">
        <v>9199853.476350687</v>
      </c>
    </row>
    <row r="18" spans="1:20" ht="12.75">
      <c r="A18" s="136">
        <v>17</v>
      </c>
      <c r="B18" s="137">
        <v>15057897.79</v>
      </c>
      <c r="C18" s="138">
        <v>747585.23</v>
      </c>
      <c r="D18" s="138">
        <v>0</v>
      </c>
      <c r="E18" s="138">
        <v>309134.5</v>
      </c>
      <c r="F18" s="138">
        <v>0</v>
      </c>
      <c r="G18" s="139">
        <v>15496348.52</v>
      </c>
      <c r="H18" s="138">
        <v>2904393.76</v>
      </c>
      <c r="I18" s="138">
        <v>4208840.41</v>
      </c>
      <c r="J18" s="138">
        <v>0</v>
      </c>
      <c r="K18" s="138">
        <v>0</v>
      </c>
      <c r="L18" s="138">
        <v>117910.38</v>
      </c>
      <c r="M18" s="140">
        <v>4090930.03</v>
      </c>
      <c r="N18" s="139">
        <v>7532445.619999997</v>
      </c>
      <c r="O18" s="141">
        <v>0</v>
      </c>
      <c r="P18" s="141">
        <v>30024117.93</v>
      </c>
      <c r="Q18" s="151">
        <v>3775.29</v>
      </c>
      <c r="S18" s="151">
        <v>3885060.0390228056</v>
      </c>
      <c r="T18" s="151">
        <v>4993523.880970916</v>
      </c>
    </row>
    <row r="19" spans="1:20" ht="12.75">
      <c r="A19" s="136">
        <v>18</v>
      </c>
      <c r="B19" s="137">
        <v>16695528.16</v>
      </c>
      <c r="C19" s="138">
        <v>35001.03</v>
      </c>
      <c r="D19" s="138">
        <v>0</v>
      </c>
      <c r="E19" s="138">
        <v>405098</v>
      </c>
      <c r="F19" s="138">
        <v>210334.18</v>
      </c>
      <c r="G19" s="139">
        <v>16115097.01</v>
      </c>
      <c r="H19" s="138">
        <v>3429818.66</v>
      </c>
      <c r="I19" s="138">
        <v>5054410.04</v>
      </c>
      <c r="J19" s="138">
        <v>0</v>
      </c>
      <c r="K19" s="138">
        <v>0</v>
      </c>
      <c r="L19" s="138">
        <v>4048.06</v>
      </c>
      <c r="M19" s="140">
        <v>5050361.98</v>
      </c>
      <c r="N19" s="139">
        <v>8594474.760000039</v>
      </c>
      <c r="O19" s="141">
        <v>0</v>
      </c>
      <c r="P19" s="141">
        <v>33189752.41000004</v>
      </c>
      <c r="Q19" s="151">
        <v>4014.29</v>
      </c>
      <c r="S19" s="151">
        <v>3832465.158940474</v>
      </c>
      <c r="T19" s="151">
        <v>4231062.676942223</v>
      </c>
    </row>
    <row r="20" spans="1:20" ht="12.75">
      <c r="A20" s="136">
        <v>19</v>
      </c>
      <c r="B20" s="137">
        <v>3730333.41</v>
      </c>
      <c r="C20" s="138">
        <v>0</v>
      </c>
      <c r="D20" s="138">
        <v>0</v>
      </c>
      <c r="E20" s="138">
        <v>0</v>
      </c>
      <c r="F20" s="138">
        <v>0</v>
      </c>
      <c r="G20" s="139">
        <v>3730333.41</v>
      </c>
      <c r="H20" s="138">
        <v>792063.94</v>
      </c>
      <c r="I20" s="138">
        <v>854257.51</v>
      </c>
      <c r="J20" s="138">
        <v>0</v>
      </c>
      <c r="K20" s="138">
        <v>0</v>
      </c>
      <c r="L20" s="138">
        <v>0</v>
      </c>
      <c r="M20" s="140">
        <v>854257.51</v>
      </c>
      <c r="N20" s="139">
        <v>5645448.040000001</v>
      </c>
      <c r="O20" s="141">
        <v>0</v>
      </c>
      <c r="P20" s="141">
        <v>11022102.9</v>
      </c>
      <c r="Q20" s="151">
        <v>856.37</v>
      </c>
      <c r="S20" s="151">
        <v>832236.6318910092</v>
      </c>
      <c r="T20" s="151">
        <v>870775.0439746038</v>
      </c>
    </row>
    <row r="21" spans="1:20" ht="12.75">
      <c r="A21" s="136">
        <v>20</v>
      </c>
      <c r="B21" s="137">
        <v>10754403.7</v>
      </c>
      <c r="C21" s="138">
        <v>0</v>
      </c>
      <c r="D21" s="138">
        <v>0</v>
      </c>
      <c r="E21" s="138">
        <v>0</v>
      </c>
      <c r="F21" s="138">
        <v>0</v>
      </c>
      <c r="G21" s="139">
        <v>10754403.7</v>
      </c>
      <c r="H21" s="138">
        <v>1681637.1</v>
      </c>
      <c r="I21" s="138">
        <v>1930149.18</v>
      </c>
      <c r="J21" s="138">
        <v>0</v>
      </c>
      <c r="K21" s="138">
        <v>0</v>
      </c>
      <c r="L21" s="138">
        <v>0</v>
      </c>
      <c r="M21" s="140">
        <v>1930149.18</v>
      </c>
      <c r="N21" s="139">
        <v>3385258.2300000098</v>
      </c>
      <c r="O21" s="141">
        <v>0</v>
      </c>
      <c r="P21" s="141">
        <v>17751448.21000001</v>
      </c>
      <c r="Q21" s="151">
        <v>2185.33</v>
      </c>
      <c r="S21" s="151">
        <v>1861704.0640907611</v>
      </c>
      <c r="T21" s="151">
        <v>2035788.4720542403</v>
      </c>
    </row>
    <row r="22" spans="1:20" ht="12.75">
      <c r="A22" s="136">
        <v>21</v>
      </c>
      <c r="B22" s="137">
        <v>179533899.98</v>
      </c>
      <c r="C22" s="138">
        <v>0</v>
      </c>
      <c r="D22" s="138">
        <v>0</v>
      </c>
      <c r="E22" s="138">
        <v>2160589.36</v>
      </c>
      <c r="F22" s="138">
        <v>0</v>
      </c>
      <c r="G22" s="139">
        <v>177373310.61999997</v>
      </c>
      <c r="H22" s="138">
        <v>42219071.63</v>
      </c>
      <c r="I22" s="138">
        <v>21634234.96</v>
      </c>
      <c r="J22" s="138">
        <v>228341.71</v>
      </c>
      <c r="K22" s="138">
        <v>337490.7</v>
      </c>
      <c r="L22" s="138">
        <v>55171.7</v>
      </c>
      <c r="M22" s="140">
        <v>21469914.270000003</v>
      </c>
      <c r="N22" s="139">
        <v>173639667.54999995</v>
      </c>
      <c r="O22" s="141">
        <v>0</v>
      </c>
      <c r="P22" s="141">
        <v>414701964.06999993</v>
      </c>
      <c r="Q22" s="151">
        <v>55537.65</v>
      </c>
      <c r="S22" s="151">
        <v>48540433.59127876</v>
      </c>
      <c r="T22" s="151">
        <v>55101894.261617236</v>
      </c>
    </row>
    <row r="23" spans="1:20" ht="12.75">
      <c r="A23" s="136">
        <v>22</v>
      </c>
      <c r="B23" s="137">
        <v>5475887.79</v>
      </c>
      <c r="C23" s="138">
        <v>0</v>
      </c>
      <c r="D23" s="138">
        <v>4327.88</v>
      </c>
      <c r="E23" s="138">
        <v>278049.49</v>
      </c>
      <c r="F23" s="138">
        <v>0</v>
      </c>
      <c r="G23" s="139">
        <v>5193510.42</v>
      </c>
      <c r="H23" s="138">
        <v>1698381.36</v>
      </c>
      <c r="I23" s="138">
        <v>931204.31</v>
      </c>
      <c r="J23" s="138">
        <v>0</v>
      </c>
      <c r="K23" s="138">
        <v>0</v>
      </c>
      <c r="L23" s="138">
        <v>0</v>
      </c>
      <c r="M23" s="140">
        <v>931204.31</v>
      </c>
      <c r="N23" s="139">
        <v>9997868.880000006</v>
      </c>
      <c r="O23" s="141">
        <v>0</v>
      </c>
      <c r="P23" s="141">
        <v>17820964.970000006</v>
      </c>
      <c r="Q23" s="151">
        <v>2126.93</v>
      </c>
      <c r="S23" s="151">
        <v>1933635.2971445378</v>
      </c>
      <c r="T23" s="151">
        <v>2196979.9346509106</v>
      </c>
    </row>
    <row r="24" spans="1:20" ht="12.75">
      <c r="A24" s="136">
        <v>23</v>
      </c>
      <c r="B24" s="137">
        <v>3054085.46</v>
      </c>
      <c r="C24" s="138">
        <v>0</v>
      </c>
      <c r="D24" s="138">
        <v>0</v>
      </c>
      <c r="E24" s="138">
        <v>304920</v>
      </c>
      <c r="F24" s="138">
        <v>0</v>
      </c>
      <c r="G24" s="139">
        <v>2749165.46</v>
      </c>
      <c r="H24" s="138">
        <v>676536.58</v>
      </c>
      <c r="I24" s="138">
        <v>517247.34</v>
      </c>
      <c r="J24" s="138">
        <v>0</v>
      </c>
      <c r="K24" s="138">
        <v>0</v>
      </c>
      <c r="L24" s="138">
        <v>4278.9</v>
      </c>
      <c r="M24" s="140">
        <v>512968.44</v>
      </c>
      <c r="N24" s="139">
        <v>1853713.12</v>
      </c>
      <c r="O24" s="141">
        <v>0</v>
      </c>
      <c r="P24" s="141">
        <v>5792383.6000000015</v>
      </c>
      <c r="Q24" s="151">
        <v>679.93</v>
      </c>
      <c r="S24" s="151">
        <v>745609.7705789339</v>
      </c>
      <c r="T24" s="151">
        <v>811927.3671535973</v>
      </c>
    </row>
    <row r="25" spans="1:20" ht="12.75">
      <c r="A25" s="136">
        <v>24</v>
      </c>
      <c r="B25" s="137">
        <v>21096768.740000002</v>
      </c>
      <c r="C25" s="138">
        <v>0</v>
      </c>
      <c r="D25" s="138">
        <v>0</v>
      </c>
      <c r="E25" s="138">
        <v>514450</v>
      </c>
      <c r="F25" s="138">
        <v>0</v>
      </c>
      <c r="G25" s="139">
        <v>20582318.740000002</v>
      </c>
      <c r="H25" s="138">
        <v>5128091.88</v>
      </c>
      <c r="I25" s="138">
        <v>4084528.49</v>
      </c>
      <c r="J25" s="138">
        <v>0</v>
      </c>
      <c r="K25" s="138">
        <v>0</v>
      </c>
      <c r="L25" s="138">
        <v>124598.15</v>
      </c>
      <c r="M25" s="140">
        <v>3959930.34</v>
      </c>
      <c r="N25" s="139">
        <v>20566040.040000044</v>
      </c>
      <c r="O25" s="141">
        <v>126101.4</v>
      </c>
      <c r="P25" s="141">
        <v>50236381.000000045</v>
      </c>
      <c r="Q25" s="151">
        <v>6425</v>
      </c>
      <c r="S25" s="151">
        <v>5900681.472766272</v>
      </c>
      <c r="T25" s="151">
        <v>6702665.103424497</v>
      </c>
    </row>
    <row r="26" spans="1:20" ht="12.75">
      <c r="A26" s="136">
        <v>25</v>
      </c>
      <c r="B26" s="137">
        <v>6082277.15</v>
      </c>
      <c r="C26" s="138">
        <v>0</v>
      </c>
      <c r="D26" s="138">
        <v>0</v>
      </c>
      <c r="E26" s="138">
        <v>0</v>
      </c>
      <c r="F26" s="138">
        <v>0</v>
      </c>
      <c r="G26" s="139">
        <v>6082277.15</v>
      </c>
      <c r="H26" s="138">
        <v>1424470</v>
      </c>
      <c r="I26" s="138">
        <v>2457190.85</v>
      </c>
      <c r="J26" s="138">
        <v>0</v>
      </c>
      <c r="K26" s="138">
        <v>0</v>
      </c>
      <c r="L26" s="138">
        <v>0</v>
      </c>
      <c r="M26" s="140">
        <v>2457190.85</v>
      </c>
      <c r="N26" s="139">
        <v>3211753.1700000092</v>
      </c>
      <c r="O26" s="141">
        <v>0</v>
      </c>
      <c r="P26" s="141">
        <v>13175691.17000001</v>
      </c>
      <c r="Q26" s="151">
        <v>1378.91</v>
      </c>
      <c r="S26" s="151">
        <v>1499727.5364653035</v>
      </c>
      <c r="T26" s="151">
        <v>1553919.8140271578</v>
      </c>
    </row>
    <row r="27" spans="1:20" ht="12.75">
      <c r="A27" s="136">
        <v>26</v>
      </c>
      <c r="B27" s="137">
        <v>11793200.930000002</v>
      </c>
      <c r="C27" s="138">
        <v>0</v>
      </c>
      <c r="D27" s="138">
        <v>0</v>
      </c>
      <c r="E27" s="138">
        <v>189144.63</v>
      </c>
      <c r="F27" s="138">
        <v>0</v>
      </c>
      <c r="G27" s="139">
        <v>11604056.3</v>
      </c>
      <c r="H27" s="138">
        <v>2071200.12</v>
      </c>
      <c r="I27" s="138">
        <v>2658777.65</v>
      </c>
      <c r="J27" s="138">
        <v>0</v>
      </c>
      <c r="K27" s="138">
        <v>0</v>
      </c>
      <c r="L27" s="138">
        <v>48180.93</v>
      </c>
      <c r="M27" s="140">
        <v>2610596.72</v>
      </c>
      <c r="N27" s="139">
        <v>5366929.6999999825</v>
      </c>
      <c r="O27" s="141">
        <v>0</v>
      </c>
      <c r="P27" s="141">
        <v>21652782.839999985</v>
      </c>
      <c r="Q27" s="151">
        <v>2520.98</v>
      </c>
      <c r="S27" s="151">
        <v>2152522.8127813</v>
      </c>
      <c r="T27" s="151">
        <v>2197832.7995323744</v>
      </c>
    </row>
    <row r="28" spans="1:20" ht="12.75">
      <c r="A28" s="136">
        <v>27</v>
      </c>
      <c r="B28" s="137">
        <v>18266557.14</v>
      </c>
      <c r="C28" s="138">
        <v>0</v>
      </c>
      <c r="D28" s="138">
        <v>0</v>
      </c>
      <c r="E28" s="138">
        <v>553171</v>
      </c>
      <c r="F28" s="138">
        <v>0</v>
      </c>
      <c r="G28" s="139">
        <v>17713386.14</v>
      </c>
      <c r="H28" s="138">
        <v>3323163.78</v>
      </c>
      <c r="I28" s="138">
        <v>2511058.71</v>
      </c>
      <c r="J28" s="138">
        <v>0</v>
      </c>
      <c r="K28" s="138">
        <v>0</v>
      </c>
      <c r="L28" s="138">
        <v>28520.16</v>
      </c>
      <c r="M28" s="140">
        <v>2482538.55</v>
      </c>
      <c r="N28" s="139">
        <v>13574911.15999997</v>
      </c>
      <c r="O28" s="141">
        <v>0</v>
      </c>
      <c r="P28" s="141">
        <v>37093999.62999997</v>
      </c>
      <c r="Q28" s="151">
        <v>4488.94</v>
      </c>
      <c r="S28" s="151">
        <v>3738103.756439821</v>
      </c>
      <c r="T28" s="151">
        <v>4200359.541209524</v>
      </c>
    </row>
    <row r="29" spans="1:20" ht="12.75">
      <c r="A29" s="136">
        <v>28</v>
      </c>
      <c r="B29" s="137">
        <v>6017312.46</v>
      </c>
      <c r="C29" s="138">
        <v>0</v>
      </c>
      <c r="D29" s="138">
        <v>0</v>
      </c>
      <c r="E29" s="138">
        <v>256000</v>
      </c>
      <c r="F29" s="138">
        <v>239404</v>
      </c>
      <c r="G29" s="139">
        <v>5521908.46</v>
      </c>
      <c r="H29" s="138">
        <v>1441836.68</v>
      </c>
      <c r="I29" s="138">
        <v>1037324.07</v>
      </c>
      <c r="J29" s="138">
        <v>0</v>
      </c>
      <c r="K29" s="138">
        <v>0</v>
      </c>
      <c r="L29" s="138">
        <v>0</v>
      </c>
      <c r="M29" s="140">
        <v>1037324.07</v>
      </c>
      <c r="N29" s="139">
        <v>5305588.17</v>
      </c>
      <c r="O29" s="141">
        <v>0</v>
      </c>
      <c r="P29" s="141">
        <v>13306657.38</v>
      </c>
      <c r="Q29" s="151">
        <v>1545.8</v>
      </c>
      <c r="S29" s="151">
        <v>1555416.2330230663</v>
      </c>
      <c r="T29" s="151">
        <v>1675879.49207649</v>
      </c>
    </row>
    <row r="30" spans="1:20" ht="12.75">
      <c r="A30" s="136">
        <v>29</v>
      </c>
      <c r="B30" s="137">
        <v>232802620.24000004</v>
      </c>
      <c r="C30" s="138">
        <v>0</v>
      </c>
      <c r="D30" s="138">
        <v>0</v>
      </c>
      <c r="E30" s="138">
        <v>529210</v>
      </c>
      <c r="F30" s="138">
        <v>1515226.25</v>
      </c>
      <c r="G30" s="139">
        <v>230758183.99000004</v>
      </c>
      <c r="H30" s="138">
        <v>141588155.56</v>
      </c>
      <c r="I30" s="138">
        <v>78045111.92999999</v>
      </c>
      <c r="J30" s="138">
        <v>0</v>
      </c>
      <c r="K30" s="138">
        <v>0</v>
      </c>
      <c r="L30" s="138">
        <v>140099</v>
      </c>
      <c r="M30" s="140">
        <v>77905012.92999999</v>
      </c>
      <c r="N30" s="139">
        <v>1337688937.429999</v>
      </c>
      <c r="O30" s="141">
        <v>29756206.03</v>
      </c>
      <c r="P30" s="141">
        <v>1787940289.9099991</v>
      </c>
      <c r="Q30" s="151">
        <v>158937.02</v>
      </c>
      <c r="S30" s="151">
        <v>156687882.3064539</v>
      </c>
      <c r="T30" s="151">
        <v>171342281.36794236</v>
      </c>
    </row>
    <row r="31" spans="1:20" ht="12.75">
      <c r="A31" s="136">
        <v>30</v>
      </c>
      <c r="B31" s="137">
        <v>22562647.41</v>
      </c>
      <c r="C31" s="138">
        <v>46077.71</v>
      </c>
      <c r="D31" s="138">
        <v>15763.29</v>
      </c>
      <c r="E31" s="138">
        <v>0</v>
      </c>
      <c r="F31" s="138">
        <v>2068809</v>
      </c>
      <c r="G31" s="139">
        <v>20524152.830000002</v>
      </c>
      <c r="H31" s="138">
        <v>9037238.98</v>
      </c>
      <c r="I31" s="138">
        <v>4432170.45</v>
      </c>
      <c r="J31" s="138">
        <v>0</v>
      </c>
      <c r="K31" s="138">
        <v>0</v>
      </c>
      <c r="L31" s="138">
        <v>0</v>
      </c>
      <c r="M31" s="140">
        <v>4432170.45</v>
      </c>
      <c r="N31" s="139">
        <v>64851740.73999995</v>
      </c>
      <c r="O31" s="141">
        <v>0</v>
      </c>
      <c r="P31" s="141">
        <v>98845302.99999996</v>
      </c>
      <c r="Q31" s="151">
        <v>10688.58</v>
      </c>
      <c r="S31" s="151">
        <v>10607149.786016077</v>
      </c>
      <c r="T31" s="151">
        <v>12396391.052077245</v>
      </c>
    </row>
    <row r="32" spans="1:20" ht="12.75">
      <c r="A32" s="136">
        <v>31</v>
      </c>
      <c r="B32" s="137">
        <v>8668305.11</v>
      </c>
      <c r="C32" s="138">
        <v>10123.5</v>
      </c>
      <c r="D32" s="138">
        <v>0</v>
      </c>
      <c r="E32" s="138">
        <v>487135.83</v>
      </c>
      <c r="F32" s="138">
        <v>34591.8</v>
      </c>
      <c r="G32" s="139">
        <v>8156700.9799999995</v>
      </c>
      <c r="H32" s="138">
        <v>1689955.16</v>
      </c>
      <c r="I32" s="138">
        <v>1369154.18</v>
      </c>
      <c r="J32" s="138">
        <v>0</v>
      </c>
      <c r="K32" s="138">
        <v>0</v>
      </c>
      <c r="L32" s="138">
        <v>0</v>
      </c>
      <c r="M32" s="140">
        <v>1369154.18</v>
      </c>
      <c r="N32" s="139">
        <v>5315223.470000006</v>
      </c>
      <c r="O32" s="141">
        <v>0</v>
      </c>
      <c r="P32" s="141">
        <v>16531033.790000005</v>
      </c>
      <c r="Q32" s="151">
        <v>2080.96</v>
      </c>
      <c r="S32" s="151">
        <v>1929768.0265502487</v>
      </c>
      <c r="T32" s="151">
        <v>2176511.1774957776</v>
      </c>
    </row>
    <row r="33" spans="1:20" ht="12.75">
      <c r="A33" s="136">
        <v>32</v>
      </c>
      <c r="B33" s="137">
        <v>13041552.349999998</v>
      </c>
      <c r="C33" s="138">
        <v>0</v>
      </c>
      <c r="D33" s="138">
        <v>0</v>
      </c>
      <c r="E33" s="138">
        <v>145553</v>
      </c>
      <c r="F33" s="138">
        <v>452623.31</v>
      </c>
      <c r="G33" s="139">
        <v>12443376.039999997</v>
      </c>
      <c r="H33" s="138">
        <v>2361639.52</v>
      </c>
      <c r="I33" s="138">
        <v>1172821.64</v>
      </c>
      <c r="J33" s="138">
        <v>0</v>
      </c>
      <c r="K33" s="138">
        <v>0</v>
      </c>
      <c r="L33" s="138">
        <v>0</v>
      </c>
      <c r="M33" s="140">
        <v>1172821.64</v>
      </c>
      <c r="N33" s="139">
        <v>11340510.860000005</v>
      </c>
      <c r="O33" s="141">
        <v>238010.68</v>
      </c>
      <c r="P33" s="141">
        <v>27318348.060000002</v>
      </c>
      <c r="Q33" s="151">
        <v>3588</v>
      </c>
      <c r="S33" s="151">
        <v>2835482.7997327503</v>
      </c>
      <c r="T33" s="151">
        <v>3347494.659745661</v>
      </c>
    </row>
    <row r="34" spans="1:20" ht="12.75">
      <c r="A34" s="136">
        <v>33</v>
      </c>
      <c r="B34" s="137">
        <v>25833285.13</v>
      </c>
      <c r="C34" s="138">
        <v>115588.07</v>
      </c>
      <c r="D34" s="138">
        <v>0</v>
      </c>
      <c r="E34" s="138">
        <v>198686</v>
      </c>
      <c r="F34" s="138">
        <v>0</v>
      </c>
      <c r="G34" s="139">
        <v>25750187.2</v>
      </c>
      <c r="H34" s="138">
        <v>5940490.34</v>
      </c>
      <c r="I34" s="138">
        <v>5763808.930000002</v>
      </c>
      <c r="J34" s="138">
        <v>0</v>
      </c>
      <c r="K34" s="138">
        <v>0</v>
      </c>
      <c r="L34" s="138">
        <v>82732.6</v>
      </c>
      <c r="M34" s="140">
        <v>5681076.330000002</v>
      </c>
      <c r="N34" s="139">
        <v>21290583.249999963</v>
      </c>
      <c r="O34" s="141">
        <v>0</v>
      </c>
      <c r="P34" s="141">
        <v>58662337.11999997</v>
      </c>
      <c r="Q34" s="151">
        <v>7152.14</v>
      </c>
      <c r="S34" s="151">
        <v>6925508.180252877</v>
      </c>
      <c r="T34" s="151">
        <v>7963199.398228086</v>
      </c>
    </row>
    <row r="35" spans="1:20" ht="12.75">
      <c r="A35" s="136">
        <v>34</v>
      </c>
      <c r="B35" s="137">
        <v>40248067.36</v>
      </c>
      <c r="C35" s="138">
        <v>68396</v>
      </c>
      <c r="D35" s="138">
        <v>21259</v>
      </c>
      <c r="E35" s="138">
        <v>476168</v>
      </c>
      <c r="F35" s="138">
        <v>0</v>
      </c>
      <c r="G35" s="139">
        <v>39819036.36</v>
      </c>
      <c r="H35" s="138">
        <v>8827657.6</v>
      </c>
      <c r="I35" s="138">
        <v>4745679.93</v>
      </c>
      <c r="J35" s="138">
        <v>0</v>
      </c>
      <c r="K35" s="138">
        <v>0</v>
      </c>
      <c r="L35" s="138">
        <v>54455.21</v>
      </c>
      <c r="M35" s="140">
        <v>4691224.72</v>
      </c>
      <c r="N35" s="139">
        <v>47437104.45999994</v>
      </c>
      <c r="O35" s="141">
        <v>105655.1</v>
      </c>
      <c r="P35" s="141">
        <v>100775023.13999994</v>
      </c>
      <c r="Q35" s="151">
        <v>11718.08</v>
      </c>
      <c r="S35" s="151">
        <v>10256001.616054628</v>
      </c>
      <c r="T35" s="151">
        <v>11876143.47438429</v>
      </c>
    </row>
    <row r="36" spans="1:20" ht="12.75">
      <c r="A36" s="136">
        <v>35</v>
      </c>
      <c r="B36" s="137">
        <v>10516452.37</v>
      </c>
      <c r="C36" s="138">
        <v>22706.99</v>
      </c>
      <c r="D36" s="138">
        <v>99398.58</v>
      </c>
      <c r="E36" s="138">
        <v>813248.23</v>
      </c>
      <c r="F36" s="138">
        <v>0</v>
      </c>
      <c r="G36" s="139">
        <v>9626512.549999999</v>
      </c>
      <c r="H36" s="138">
        <v>2191812.18</v>
      </c>
      <c r="I36" s="138">
        <v>1391169.55</v>
      </c>
      <c r="J36" s="138">
        <v>16322.82</v>
      </c>
      <c r="K36" s="138">
        <v>0</v>
      </c>
      <c r="L36" s="138">
        <v>29950.19</v>
      </c>
      <c r="M36" s="140">
        <v>1377542.18</v>
      </c>
      <c r="N36" s="139">
        <v>6503770.8100000005</v>
      </c>
      <c r="O36" s="141">
        <v>0</v>
      </c>
      <c r="P36" s="141">
        <v>19699637.72</v>
      </c>
      <c r="Q36" s="151">
        <v>2536.28</v>
      </c>
      <c r="S36" s="151">
        <v>2419364.483787246</v>
      </c>
      <c r="T36" s="151">
        <v>2638763.943249191</v>
      </c>
    </row>
    <row r="37" spans="1:20" ht="12.75">
      <c r="A37" s="136">
        <v>36</v>
      </c>
      <c r="B37" s="137">
        <v>23146616.939999998</v>
      </c>
      <c r="C37" s="138">
        <v>0</v>
      </c>
      <c r="D37" s="138">
        <v>0</v>
      </c>
      <c r="E37" s="138">
        <v>689385.8</v>
      </c>
      <c r="F37" s="138">
        <v>0</v>
      </c>
      <c r="G37" s="139">
        <v>22457231.139999997</v>
      </c>
      <c r="H37" s="138">
        <v>5387436.5600000005</v>
      </c>
      <c r="I37" s="138">
        <v>3323374.96</v>
      </c>
      <c r="J37" s="138">
        <v>0</v>
      </c>
      <c r="K37" s="138">
        <v>0</v>
      </c>
      <c r="L37" s="138">
        <v>11708.85</v>
      </c>
      <c r="M37" s="140">
        <v>3311666.11</v>
      </c>
      <c r="N37" s="139">
        <v>19325747.479999974</v>
      </c>
      <c r="O37" s="141">
        <v>0</v>
      </c>
      <c r="P37" s="141">
        <v>50482081.28999997</v>
      </c>
      <c r="Q37" s="151">
        <v>6072.33</v>
      </c>
      <c r="S37" s="151">
        <v>5971065.797582333</v>
      </c>
      <c r="T37" s="151">
        <v>6612261.425989328</v>
      </c>
    </row>
    <row r="38" spans="1:20" ht="12.75">
      <c r="A38" s="136">
        <v>37</v>
      </c>
      <c r="B38" s="137">
        <v>2786774.29</v>
      </c>
      <c r="C38" s="138">
        <v>0</v>
      </c>
      <c r="D38" s="138">
        <v>0</v>
      </c>
      <c r="E38" s="138">
        <v>180000</v>
      </c>
      <c r="F38" s="138">
        <v>0</v>
      </c>
      <c r="G38" s="139">
        <v>2606774.29</v>
      </c>
      <c r="H38" s="138">
        <v>1734318.18</v>
      </c>
      <c r="I38" s="138">
        <v>1031124.55</v>
      </c>
      <c r="J38" s="138">
        <v>0</v>
      </c>
      <c r="K38" s="138">
        <v>0</v>
      </c>
      <c r="L38" s="138">
        <v>0</v>
      </c>
      <c r="M38" s="140">
        <v>1031124.55</v>
      </c>
      <c r="N38" s="139">
        <v>13763542.40000001</v>
      </c>
      <c r="O38" s="141">
        <v>0</v>
      </c>
      <c r="P38" s="141">
        <v>19135759.42000001</v>
      </c>
      <c r="Q38" s="151">
        <v>2169.2</v>
      </c>
      <c r="S38" s="151">
        <v>2013301.0713868928</v>
      </c>
      <c r="T38" s="151">
        <v>2305293.774596821</v>
      </c>
    </row>
    <row r="39" spans="1:20" ht="12.75">
      <c r="A39" s="136">
        <v>38</v>
      </c>
      <c r="B39" s="137">
        <v>9933854.870000001</v>
      </c>
      <c r="C39" s="138">
        <v>157933.98</v>
      </c>
      <c r="D39" s="138">
        <v>172635.43</v>
      </c>
      <c r="E39" s="138">
        <v>289604.88</v>
      </c>
      <c r="F39" s="138">
        <v>0</v>
      </c>
      <c r="G39" s="139">
        <v>9629548.540000001</v>
      </c>
      <c r="H39" s="138">
        <v>1841759.98</v>
      </c>
      <c r="I39" s="138">
        <v>2357989.86</v>
      </c>
      <c r="J39" s="138">
        <v>0</v>
      </c>
      <c r="K39" s="138">
        <v>0</v>
      </c>
      <c r="L39" s="138">
        <v>0</v>
      </c>
      <c r="M39" s="140">
        <v>2357989.86</v>
      </c>
      <c r="N39" s="139">
        <v>4748571.099999974</v>
      </c>
      <c r="O39" s="141">
        <v>0</v>
      </c>
      <c r="P39" s="141">
        <v>18577869.479999974</v>
      </c>
      <c r="Q39" s="151">
        <v>2177.21</v>
      </c>
      <c r="S39" s="151">
        <v>2107662.4738875465</v>
      </c>
      <c r="T39" s="151">
        <v>2382051.6139285685</v>
      </c>
    </row>
    <row r="40" spans="1:20" ht="12.75">
      <c r="A40" s="136">
        <v>39</v>
      </c>
      <c r="B40" s="137">
        <v>11738625.53</v>
      </c>
      <c r="C40" s="138">
        <v>0</v>
      </c>
      <c r="D40" s="138">
        <v>0</v>
      </c>
      <c r="E40" s="138">
        <v>283887.43</v>
      </c>
      <c r="F40" s="138">
        <v>0</v>
      </c>
      <c r="G40" s="139">
        <v>11454738.1</v>
      </c>
      <c r="H40" s="138">
        <v>2198152.62</v>
      </c>
      <c r="I40" s="138">
        <v>1452850.54</v>
      </c>
      <c r="J40" s="138">
        <v>0</v>
      </c>
      <c r="K40" s="138">
        <v>0</v>
      </c>
      <c r="L40" s="138">
        <v>4421.36</v>
      </c>
      <c r="M40" s="140">
        <v>1448429.18</v>
      </c>
      <c r="N40" s="139">
        <v>7821663.1100000255</v>
      </c>
      <c r="O40" s="141">
        <v>0</v>
      </c>
      <c r="P40" s="141">
        <v>22922983.010000024</v>
      </c>
      <c r="Q40" s="151">
        <v>2651.83</v>
      </c>
      <c r="S40" s="151">
        <v>2459584.0979678524</v>
      </c>
      <c r="T40" s="151">
        <v>2749636.3778394936</v>
      </c>
    </row>
    <row r="41" spans="1:20" ht="12.75">
      <c r="A41" s="136">
        <v>40</v>
      </c>
      <c r="B41" s="137">
        <v>8379069.709999999</v>
      </c>
      <c r="C41" s="138">
        <v>0</v>
      </c>
      <c r="D41" s="138">
        <v>0</v>
      </c>
      <c r="E41" s="138">
        <v>276615.5</v>
      </c>
      <c r="F41" s="138">
        <v>0</v>
      </c>
      <c r="G41" s="139">
        <v>8102454.209999999</v>
      </c>
      <c r="H41" s="138">
        <v>1314255.52</v>
      </c>
      <c r="I41" s="138">
        <v>1855260.94</v>
      </c>
      <c r="J41" s="138">
        <v>0</v>
      </c>
      <c r="K41" s="138">
        <v>0</v>
      </c>
      <c r="L41" s="138">
        <v>0</v>
      </c>
      <c r="M41" s="140">
        <v>1855260.94</v>
      </c>
      <c r="N41" s="139">
        <v>3328451.049999982</v>
      </c>
      <c r="O41" s="141">
        <v>8064245.73</v>
      </c>
      <c r="P41" s="141">
        <v>14600421.71999998</v>
      </c>
      <c r="Q41" s="151">
        <v>1618.29</v>
      </c>
      <c r="S41" s="151">
        <v>1446359.2022641145</v>
      </c>
      <c r="T41" s="151">
        <v>1572013.6347464072</v>
      </c>
    </row>
    <row r="42" spans="1:20" ht="12.75">
      <c r="A42" s="136">
        <v>41</v>
      </c>
      <c r="B42" s="137">
        <v>29013155.729999997</v>
      </c>
      <c r="C42" s="138">
        <v>0</v>
      </c>
      <c r="D42" s="138">
        <v>0</v>
      </c>
      <c r="E42" s="138">
        <v>1006021.4</v>
      </c>
      <c r="F42" s="138">
        <v>0</v>
      </c>
      <c r="G42" s="139">
        <v>28007134.33</v>
      </c>
      <c r="H42" s="138">
        <v>5025502.28</v>
      </c>
      <c r="I42" s="138">
        <v>5747936.54</v>
      </c>
      <c r="J42" s="138">
        <v>0</v>
      </c>
      <c r="K42" s="138">
        <v>0</v>
      </c>
      <c r="L42" s="138">
        <v>125181</v>
      </c>
      <c r="M42" s="140">
        <v>5622755.54</v>
      </c>
      <c r="N42" s="139">
        <v>14783798.60999997</v>
      </c>
      <c r="O42" s="141">
        <v>0</v>
      </c>
      <c r="P42" s="141">
        <v>53439190.75999997</v>
      </c>
      <c r="Q42" s="151">
        <v>5876</v>
      </c>
      <c r="S42" s="151">
        <v>5641574.342948904</v>
      </c>
      <c r="T42" s="151">
        <v>6258322.500181825</v>
      </c>
    </row>
    <row r="43" spans="1:20" ht="12.75">
      <c r="A43" s="136">
        <v>42</v>
      </c>
      <c r="B43" s="137">
        <v>51549737.56000001</v>
      </c>
      <c r="C43" s="138">
        <v>23282</v>
      </c>
      <c r="D43" s="138">
        <v>55161</v>
      </c>
      <c r="E43" s="138">
        <v>305291</v>
      </c>
      <c r="F43" s="138">
        <v>0</v>
      </c>
      <c r="G43" s="139">
        <v>51212567.56000001</v>
      </c>
      <c r="H43" s="138">
        <v>13922801.52</v>
      </c>
      <c r="I43" s="138">
        <v>5196656.66</v>
      </c>
      <c r="J43" s="138">
        <v>0</v>
      </c>
      <c r="K43" s="138">
        <v>0</v>
      </c>
      <c r="L43" s="138">
        <v>34035.61</v>
      </c>
      <c r="M43" s="140">
        <v>5162621.05</v>
      </c>
      <c r="N43" s="139">
        <v>66205168.91000001</v>
      </c>
      <c r="O43" s="141">
        <v>0</v>
      </c>
      <c r="P43" s="141">
        <v>136503159.04000002</v>
      </c>
      <c r="Q43" s="151">
        <v>18211.16</v>
      </c>
      <c r="S43" s="151">
        <v>16237122.317182114</v>
      </c>
      <c r="T43" s="151">
        <v>18867929.772625033</v>
      </c>
    </row>
    <row r="44" spans="1:20" ht="12.75">
      <c r="A44" s="136">
        <v>43</v>
      </c>
      <c r="B44" s="137">
        <v>130759720.64</v>
      </c>
      <c r="C44" s="138">
        <v>155889</v>
      </c>
      <c r="D44" s="138">
        <v>0</v>
      </c>
      <c r="E44" s="138">
        <v>7999544</v>
      </c>
      <c r="F44" s="138">
        <v>0</v>
      </c>
      <c r="G44" s="139">
        <v>122916065.64</v>
      </c>
      <c r="H44" s="138">
        <v>36993242.43</v>
      </c>
      <c r="I44" s="138">
        <v>20167852.63</v>
      </c>
      <c r="J44" s="138">
        <v>11074</v>
      </c>
      <c r="K44" s="138">
        <v>13856</v>
      </c>
      <c r="L44" s="138">
        <v>1206392</v>
      </c>
      <c r="M44" s="140">
        <v>18958678.63</v>
      </c>
      <c r="N44" s="139">
        <v>172131384.3</v>
      </c>
      <c r="O44" s="141">
        <v>0</v>
      </c>
      <c r="P44" s="141">
        <v>350999371</v>
      </c>
      <c r="Q44" s="151">
        <v>45961.47</v>
      </c>
      <c r="S44" s="151">
        <v>43272437.587738186</v>
      </c>
      <c r="T44" s="151">
        <v>49914770.052554026</v>
      </c>
    </row>
    <row r="45" spans="1:20" ht="12.75">
      <c r="A45" s="136">
        <v>44</v>
      </c>
      <c r="B45" s="137">
        <v>33819307.89999999</v>
      </c>
      <c r="C45" s="138">
        <v>0</v>
      </c>
      <c r="D45" s="138">
        <v>0</v>
      </c>
      <c r="E45" s="138">
        <v>0</v>
      </c>
      <c r="F45" s="138">
        <v>444833</v>
      </c>
      <c r="G45" s="139">
        <v>33374474.89999999</v>
      </c>
      <c r="H45" s="138">
        <v>7524607.319999999</v>
      </c>
      <c r="I45" s="138">
        <v>6642092.739999998</v>
      </c>
      <c r="J45" s="138">
        <v>0</v>
      </c>
      <c r="K45" s="138">
        <v>0</v>
      </c>
      <c r="L45" s="138">
        <v>318973.4</v>
      </c>
      <c r="M45" s="140">
        <v>6323119.339999998</v>
      </c>
      <c r="N45" s="139">
        <v>14054695.41000007</v>
      </c>
      <c r="O45" s="141">
        <v>540992.32</v>
      </c>
      <c r="P45" s="141">
        <v>61276896.97000006</v>
      </c>
      <c r="Q45" s="151">
        <v>7737.51</v>
      </c>
      <c r="S45" s="151">
        <v>8248114.723499741</v>
      </c>
      <c r="T45" s="151">
        <v>9034397.689346699</v>
      </c>
    </row>
    <row r="46" spans="1:20" ht="12.75">
      <c r="A46" s="136">
        <v>45</v>
      </c>
      <c r="B46" s="137">
        <v>1382490.35</v>
      </c>
      <c r="C46" s="138">
        <v>0</v>
      </c>
      <c r="D46" s="138">
        <v>0</v>
      </c>
      <c r="E46" s="138">
        <v>264411</v>
      </c>
      <c r="F46" s="138">
        <v>0</v>
      </c>
      <c r="G46" s="139">
        <v>1118079.35</v>
      </c>
      <c r="H46" s="138">
        <v>271030.5</v>
      </c>
      <c r="I46" s="138">
        <v>289092.1</v>
      </c>
      <c r="J46" s="138">
        <v>0</v>
      </c>
      <c r="K46" s="138">
        <v>0</v>
      </c>
      <c r="L46" s="138">
        <v>0</v>
      </c>
      <c r="M46" s="140">
        <v>289092.1</v>
      </c>
      <c r="N46" s="139">
        <v>1674466.04</v>
      </c>
      <c r="O46" s="141">
        <v>0</v>
      </c>
      <c r="P46" s="141">
        <v>3352667.99</v>
      </c>
      <c r="Q46" s="151">
        <v>302.56</v>
      </c>
      <c r="S46" s="151">
        <v>293912.5651659698</v>
      </c>
      <c r="T46" s="151">
        <v>313854.2763787015</v>
      </c>
    </row>
    <row r="47" spans="1:20" ht="12.75">
      <c r="A47" s="136">
        <v>46</v>
      </c>
      <c r="B47" s="137">
        <v>18170137.14</v>
      </c>
      <c r="C47" s="138">
        <v>166507</v>
      </c>
      <c r="D47" s="138">
        <v>59976</v>
      </c>
      <c r="E47" s="138">
        <v>1037969.88</v>
      </c>
      <c r="F47" s="138">
        <v>0</v>
      </c>
      <c r="G47" s="139">
        <v>17238698.26</v>
      </c>
      <c r="H47" s="138">
        <v>4626234.84</v>
      </c>
      <c r="I47" s="138">
        <v>2934782.11</v>
      </c>
      <c r="J47" s="138">
        <v>0</v>
      </c>
      <c r="K47" s="138">
        <v>0</v>
      </c>
      <c r="L47" s="138">
        <v>83237</v>
      </c>
      <c r="M47" s="140">
        <v>2851545.11</v>
      </c>
      <c r="N47" s="139">
        <v>15987399.79</v>
      </c>
      <c r="O47" s="141">
        <v>0</v>
      </c>
      <c r="P47" s="141">
        <v>40703878</v>
      </c>
      <c r="Q47" s="151">
        <v>5044</v>
      </c>
      <c r="S47" s="151">
        <v>5312856.342434332</v>
      </c>
      <c r="T47" s="151">
        <v>6024637.522660726</v>
      </c>
    </row>
    <row r="48" spans="1:20" ht="12.75">
      <c r="A48" s="136">
        <v>47</v>
      </c>
      <c r="B48" s="137">
        <v>19079563.18</v>
      </c>
      <c r="C48" s="138">
        <v>0</v>
      </c>
      <c r="D48" s="138">
        <v>0</v>
      </c>
      <c r="E48" s="138">
        <v>0</v>
      </c>
      <c r="F48" s="138">
        <v>0</v>
      </c>
      <c r="G48" s="139">
        <v>19079563.18</v>
      </c>
      <c r="H48" s="138">
        <v>7087920.720000001</v>
      </c>
      <c r="I48" s="138">
        <v>10394</v>
      </c>
      <c r="J48" s="138">
        <v>0</v>
      </c>
      <c r="K48" s="138">
        <v>0</v>
      </c>
      <c r="L48" s="138">
        <v>0</v>
      </c>
      <c r="M48" s="140">
        <v>10394</v>
      </c>
      <c r="N48" s="139">
        <v>50721849.76</v>
      </c>
      <c r="O48" s="141">
        <v>0</v>
      </c>
      <c r="P48" s="141">
        <v>76899727.66</v>
      </c>
      <c r="Q48" s="151">
        <v>8689.78</v>
      </c>
      <c r="S48" s="151">
        <v>8221817.283458576</v>
      </c>
      <c r="T48" s="151">
        <v>9508244.841759892</v>
      </c>
    </row>
    <row r="49" spans="1:20" ht="12.75">
      <c r="A49" s="136">
        <v>48</v>
      </c>
      <c r="B49" s="137">
        <v>11860601.810000002</v>
      </c>
      <c r="C49" s="138">
        <v>0</v>
      </c>
      <c r="D49" s="138">
        <v>0</v>
      </c>
      <c r="E49" s="138">
        <v>445000</v>
      </c>
      <c r="F49" s="138">
        <v>0</v>
      </c>
      <c r="G49" s="139">
        <v>11415601.810000002</v>
      </c>
      <c r="H49" s="138">
        <v>2426797.73</v>
      </c>
      <c r="I49" s="138">
        <v>899922.53</v>
      </c>
      <c r="J49" s="138">
        <v>0</v>
      </c>
      <c r="K49" s="138">
        <v>0</v>
      </c>
      <c r="L49" s="138">
        <v>15000</v>
      </c>
      <c r="M49" s="140">
        <v>884922.53</v>
      </c>
      <c r="N49" s="139">
        <v>9105975.48999997</v>
      </c>
      <c r="O49" s="141">
        <v>3318.75</v>
      </c>
      <c r="P49" s="141">
        <v>23833297.559999973</v>
      </c>
      <c r="Q49" s="151">
        <v>3364.61</v>
      </c>
      <c r="S49" s="151">
        <v>2833162.437376177</v>
      </c>
      <c r="T49" s="151">
        <v>3262208.171599275</v>
      </c>
    </row>
    <row r="50" spans="1:20" ht="12.75">
      <c r="A50" s="136">
        <v>49</v>
      </c>
      <c r="B50" s="137">
        <v>4316275.85</v>
      </c>
      <c r="C50" s="138">
        <v>0</v>
      </c>
      <c r="D50" s="138">
        <v>0</v>
      </c>
      <c r="E50" s="138">
        <v>241765.9</v>
      </c>
      <c r="F50" s="138">
        <v>0</v>
      </c>
      <c r="G50" s="139">
        <v>4074509.95</v>
      </c>
      <c r="H50" s="138">
        <v>771035.66</v>
      </c>
      <c r="I50" s="138">
        <v>874956.75</v>
      </c>
      <c r="J50" s="138">
        <v>0</v>
      </c>
      <c r="K50" s="138">
        <v>0</v>
      </c>
      <c r="L50" s="138">
        <v>19026.04</v>
      </c>
      <c r="M50" s="140">
        <v>855930.71</v>
      </c>
      <c r="N50" s="139">
        <v>3380367.56</v>
      </c>
      <c r="O50" s="141">
        <v>0</v>
      </c>
      <c r="P50" s="141">
        <v>9081843.880000003</v>
      </c>
      <c r="Q50" s="151">
        <v>820.93</v>
      </c>
      <c r="S50" s="151">
        <v>860854.4342887483</v>
      </c>
      <c r="T50" s="151">
        <v>959472.9916468456</v>
      </c>
    </row>
    <row r="51" spans="1:20" ht="12.75">
      <c r="A51" s="136">
        <v>50</v>
      </c>
      <c r="B51" s="137">
        <v>7804210.9399999995</v>
      </c>
      <c r="C51" s="138">
        <v>0</v>
      </c>
      <c r="D51" s="138">
        <v>0</v>
      </c>
      <c r="E51" s="138">
        <v>0</v>
      </c>
      <c r="F51" s="138">
        <v>330524</v>
      </c>
      <c r="G51" s="139">
        <v>7473686.9399999995</v>
      </c>
      <c r="H51" s="138">
        <v>1506957.3</v>
      </c>
      <c r="I51" s="138">
        <v>988637.25</v>
      </c>
      <c r="J51" s="138">
        <v>0</v>
      </c>
      <c r="K51" s="138">
        <v>0</v>
      </c>
      <c r="L51" s="138">
        <v>0</v>
      </c>
      <c r="M51" s="140">
        <v>988637.25</v>
      </c>
      <c r="N51" s="139">
        <v>5609560.170000002</v>
      </c>
      <c r="O51" s="141">
        <v>0</v>
      </c>
      <c r="P51" s="141">
        <v>15578841.660000002</v>
      </c>
      <c r="Q51" s="151">
        <v>1913.41</v>
      </c>
      <c r="S51" s="151">
        <v>1759608.1204015294</v>
      </c>
      <c r="T51" s="151">
        <v>2026406.9583581376</v>
      </c>
    </row>
    <row r="52" spans="1:20" ht="12.75">
      <c r="A52" s="136">
        <v>51</v>
      </c>
      <c r="B52" s="137">
        <v>2899530.44</v>
      </c>
      <c r="C52" s="138">
        <v>0</v>
      </c>
      <c r="D52" s="138">
        <v>0</v>
      </c>
      <c r="E52" s="138">
        <v>472018</v>
      </c>
      <c r="F52" s="138">
        <v>0</v>
      </c>
      <c r="G52" s="139">
        <v>2427512.44</v>
      </c>
      <c r="H52" s="138">
        <v>1207506.92</v>
      </c>
      <c r="I52" s="138">
        <v>1325196.84</v>
      </c>
      <c r="J52" s="138">
        <v>0</v>
      </c>
      <c r="K52" s="138">
        <v>0</v>
      </c>
      <c r="L52" s="138">
        <v>94738.79</v>
      </c>
      <c r="M52" s="140">
        <v>1230458.05</v>
      </c>
      <c r="N52" s="139">
        <v>7920424.440000001</v>
      </c>
      <c r="O52" s="141">
        <v>0</v>
      </c>
      <c r="P52" s="141">
        <v>12785901.850000001</v>
      </c>
      <c r="Q52" s="151">
        <v>1400.32</v>
      </c>
      <c r="S52" s="151">
        <v>1336528.7173863046</v>
      </c>
      <c r="T52" s="151">
        <v>1461810.4068290608</v>
      </c>
    </row>
    <row r="53" spans="1:20" ht="12.75">
      <c r="A53" s="136">
        <v>52</v>
      </c>
      <c r="B53" s="137">
        <v>21242074.37</v>
      </c>
      <c r="C53" s="138">
        <v>998872.17</v>
      </c>
      <c r="D53" s="138">
        <v>1049567.16</v>
      </c>
      <c r="E53" s="138">
        <v>1622582.9</v>
      </c>
      <c r="F53" s="138">
        <v>0</v>
      </c>
      <c r="G53" s="139">
        <v>19568796.48</v>
      </c>
      <c r="H53" s="138">
        <v>3220480.48</v>
      </c>
      <c r="I53" s="138">
        <v>5436018.02</v>
      </c>
      <c r="J53" s="138">
        <v>0</v>
      </c>
      <c r="K53" s="138">
        <v>0</v>
      </c>
      <c r="L53" s="138">
        <v>0</v>
      </c>
      <c r="M53" s="140">
        <v>5436018.02</v>
      </c>
      <c r="N53" s="139">
        <v>4884540.839999992</v>
      </c>
      <c r="O53" s="141">
        <v>0</v>
      </c>
      <c r="P53" s="141">
        <v>33109835.819999993</v>
      </c>
      <c r="Q53" s="151">
        <v>3632.04</v>
      </c>
      <c r="S53" s="151">
        <v>3609710.3727094233</v>
      </c>
      <c r="T53" s="151">
        <v>3997377.6994211245</v>
      </c>
    </row>
    <row r="54" spans="1:20" ht="12.75">
      <c r="A54" s="136">
        <v>53</v>
      </c>
      <c r="B54" s="137">
        <v>71429865.13</v>
      </c>
      <c r="C54" s="138">
        <v>0</v>
      </c>
      <c r="D54" s="138">
        <v>0</v>
      </c>
      <c r="E54" s="138">
        <v>335120</v>
      </c>
      <c r="F54" s="138">
        <v>0</v>
      </c>
      <c r="G54" s="139">
        <v>71094745.13</v>
      </c>
      <c r="H54" s="138">
        <v>31819401.07</v>
      </c>
      <c r="I54" s="138">
        <v>9738715.289999997</v>
      </c>
      <c r="J54" s="138">
        <v>0</v>
      </c>
      <c r="K54" s="138">
        <v>0</v>
      </c>
      <c r="L54" s="138">
        <v>0</v>
      </c>
      <c r="M54" s="140">
        <v>9738715.289999997</v>
      </c>
      <c r="N54" s="139">
        <v>378030534.1899996</v>
      </c>
      <c r="O54" s="141">
        <v>0</v>
      </c>
      <c r="P54" s="141">
        <v>490683395.6799996</v>
      </c>
      <c r="Q54" s="151">
        <v>43630.77</v>
      </c>
      <c r="S54" s="151">
        <v>40788102.95796688</v>
      </c>
      <c r="T54" s="151">
        <v>50801749.529276446</v>
      </c>
    </row>
    <row r="55" spans="1:20" ht="12.75">
      <c r="A55" s="136">
        <v>54</v>
      </c>
      <c r="B55" s="137">
        <v>10270887.030000001</v>
      </c>
      <c r="C55" s="138">
        <v>0</v>
      </c>
      <c r="D55" s="138">
        <v>0</v>
      </c>
      <c r="E55" s="138">
        <v>139267</v>
      </c>
      <c r="F55" s="138">
        <v>0</v>
      </c>
      <c r="G55" s="139">
        <v>10131620.030000001</v>
      </c>
      <c r="H55" s="138">
        <v>3868496.28</v>
      </c>
      <c r="I55" s="138">
        <v>2521861.49</v>
      </c>
      <c r="J55" s="138">
        <v>0</v>
      </c>
      <c r="K55" s="138">
        <v>0</v>
      </c>
      <c r="L55" s="138">
        <v>34722.68</v>
      </c>
      <c r="M55" s="140">
        <v>2487138.81</v>
      </c>
      <c r="N55" s="139">
        <v>19428351.820000015</v>
      </c>
      <c r="O55" s="141">
        <v>0</v>
      </c>
      <c r="P55" s="141">
        <v>35915606.94000002</v>
      </c>
      <c r="Q55" s="151">
        <v>4294.47</v>
      </c>
      <c r="S55" s="151">
        <v>4322061.616177471</v>
      </c>
      <c r="T55" s="151">
        <v>4824656.634441071</v>
      </c>
    </row>
    <row r="56" spans="1:20" ht="12.75">
      <c r="A56" s="136">
        <v>55</v>
      </c>
      <c r="B56" s="137">
        <v>8165408.419999999</v>
      </c>
      <c r="C56" s="138">
        <v>396383</v>
      </c>
      <c r="D56" s="138">
        <v>0</v>
      </c>
      <c r="E56" s="138">
        <v>459198.27</v>
      </c>
      <c r="F56" s="138">
        <v>0</v>
      </c>
      <c r="G56" s="139">
        <v>8102593.1499999985</v>
      </c>
      <c r="H56" s="138">
        <v>1597763.14</v>
      </c>
      <c r="I56" s="138">
        <v>1588521.59</v>
      </c>
      <c r="J56" s="138">
        <v>0</v>
      </c>
      <c r="K56" s="138">
        <v>0</v>
      </c>
      <c r="L56" s="138">
        <v>0</v>
      </c>
      <c r="M56" s="140">
        <v>1588521.59</v>
      </c>
      <c r="N56" s="139">
        <v>3801500.04</v>
      </c>
      <c r="O56" s="141">
        <v>0</v>
      </c>
      <c r="P56" s="141">
        <v>15090377.92</v>
      </c>
      <c r="Q56" s="151">
        <v>1709.35</v>
      </c>
      <c r="S56" s="151">
        <v>1761155.028639245</v>
      </c>
      <c r="T56" s="151">
        <v>1917240.2535307633</v>
      </c>
    </row>
    <row r="57" spans="1:20" ht="12.75">
      <c r="A57" s="136">
        <v>56</v>
      </c>
      <c r="B57" s="137">
        <v>6415079.1499999985</v>
      </c>
      <c r="C57" s="138">
        <v>0</v>
      </c>
      <c r="D57" s="138">
        <v>0</v>
      </c>
      <c r="E57" s="138">
        <v>122703</v>
      </c>
      <c r="F57" s="138">
        <v>0</v>
      </c>
      <c r="G57" s="139">
        <v>6292376.1499999985</v>
      </c>
      <c r="H57" s="138">
        <v>1673319</v>
      </c>
      <c r="I57" s="138">
        <v>939769.52</v>
      </c>
      <c r="J57" s="138">
        <v>0</v>
      </c>
      <c r="K57" s="138">
        <v>0</v>
      </c>
      <c r="L57" s="138">
        <v>17997.5</v>
      </c>
      <c r="M57" s="140">
        <v>921772.02</v>
      </c>
      <c r="N57" s="139">
        <v>6313128.949999999</v>
      </c>
      <c r="O57" s="141">
        <v>0</v>
      </c>
      <c r="P57" s="141">
        <v>15200596.119999997</v>
      </c>
      <c r="Q57" s="151">
        <v>1829.22</v>
      </c>
      <c r="S57" s="151">
        <v>1862477.518209619</v>
      </c>
      <c r="T57" s="151">
        <v>2047728.5803947344</v>
      </c>
    </row>
    <row r="58" spans="1:20" ht="12.75">
      <c r="A58" s="136">
        <v>57</v>
      </c>
      <c r="B58" s="137">
        <v>4422482.44</v>
      </c>
      <c r="C58" s="138">
        <v>0</v>
      </c>
      <c r="D58" s="138">
        <v>0</v>
      </c>
      <c r="E58" s="138">
        <v>33611.25</v>
      </c>
      <c r="F58" s="138">
        <v>0</v>
      </c>
      <c r="G58" s="139">
        <v>4388871.19</v>
      </c>
      <c r="H58" s="138">
        <v>1070258.7</v>
      </c>
      <c r="I58" s="138">
        <v>708782.8</v>
      </c>
      <c r="J58" s="138">
        <v>0</v>
      </c>
      <c r="K58" s="138">
        <v>0</v>
      </c>
      <c r="L58" s="138">
        <v>0</v>
      </c>
      <c r="M58" s="140">
        <v>708782.8</v>
      </c>
      <c r="N58" s="139">
        <v>3970771.0099999923</v>
      </c>
      <c r="O58" s="141">
        <v>0</v>
      </c>
      <c r="P58" s="141">
        <v>10138683.699999992</v>
      </c>
      <c r="Q58" s="151">
        <v>1270.07</v>
      </c>
      <c r="S58" s="151">
        <v>1143165.1876718507</v>
      </c>
      <c r="T58" s="151">
        <v>1203392.3477455103</v>
      </c>
    </row>
    <row r="59" spans="1:20" ht="12.75">
      <c r="A59" s="136">
        <v>58</v>
      </c>
      <c r="B59" s="137">
        <v>20437901.64</v>
      </c>
      <c r="C59" s="138">
        <v>0</v>
      </c>
      <c r="D59" s="138">
        <v>0</v>
      </c>
      <c r="E59" s="138">
        <v>0</v>
      </c>
      <c r="F59" s="138">
        <v>0</v>
      </c>
      <c r="G59" s="139">
        <v>20437901.64</v>
      </c>
      <c r="H59" s="138">
        <v>3787495.84</v>
      </c>
      <c r="I59" s="138">
        <v>4141703.26</v>
      </c>
      <c r="J59" s="138">
        <v>0</v>
      </c>
      <c r="K59" s="138">
        <v>0</v>
      </c>
      <c r="L59" s="138">
        <v>82068</v>
      </c>
      <c r="M59" s="140">
        <v>4059635.26</v>
      </c>
      <c r="N59" s="139">
        <v>9094026.109999985</v>
      </c>
      <c r="O59" s="141">
        <v>0</v>
      </c>
      <c r="P59" s="141">
        <v>37379058.84999999</v>
      </c>
      <c r="Q59" s="151">
        <v>4796.78</v>
      </c>
      <c r="S59" s="151">
        <v>4091572.288757842</v>
      </c>
      <c r="T59" s="151">
        <v>4362403.868687658</v>
      </c>
    </row>
    <row r="60" spans="1:20" ht="12.75">
      <c r="A60" s="136">
        <v>59</v>
      </c>
      <c r="B60" s="137">
        <v>4040955.59</v>
      </c>
      <c r="C60" s="138">
        <v>0</v>
      </c>
      <c r="D60" s="138">
        <v>0</v>
      </c>
      <c r="E60" s="138">
        <v>250208</v>
      </c>
      <c r="F60" s="138">
        <v>0</v>
      </c>
      <c r="G60" s="139">
        <v>3790747.59</v>
      </c>
      <c r="H60" s="138">
        <v>1156905.28</v>
      </c>
      <c r="I60" s="138">
        <v>986445.57</v>
      </c>
      <c r="J60" s="138">
        <v>0</v>
      </c>
      <c r="K60" s="138">
        <v>0</v>
      </c>
      <c r="L60" s="138">
        <v>0</v>
      </c>
      <c r="M60" s="140">
        <v>986445.57</v>
      </c>
      <c r="N60" s="139">
        <v>5075922.72</v>
      </c>
      <c r="O60" s="141">
        <v>0</v>
      </c>
      <c r="P60" s="141">
        <v>11010021.160000002</v>
      </c>
      <c r="Q60" s="151">
        <v>1299.79</v>
      </c>
      <c r="S60" s="151">
        <v>1263824.03021367</v>
      </c>
      <c r="T60" s="151">
        <v>1363730.9454607165</v>
      </c>
    </row>
    <row r="61" spans="1:20" ht="12.75">
      <c r="A61" s="136">
        <v>60</v>
      </c>
      <c r="B61" s="137">
        <v>33169810.359999996</v>
      </c>
      <c r="C61" s="138">
        <v>0</v>
      </c>
      <c r="D61" s="138">
        <v>0</v>
      </c>
      <c r="E61" s="138">
        <v>1101297</v>
      </c>
      <c r="F61" s="138">
        <v>0</v>
      </c>
      <c r="G61" s="139">
        <v>32068513.359999996</v>
      </c>
      <c r="H61" s="138">
        <v>8648023.040000001</v>
      </c>
      <c r="I61" s="138">
        <v>5982793.41</v>
      </c>
      <c r="J61" s="138">
        <v>0</v>
      </c>
      <c r="K61" s="138">
        <v>0</v>
      </c>
      <c r="L61" s="138">
        <v>0</v>
      </c>
      <c r="M61" s="140">
        <v>5982793.41</v>
      </c>
      <c r="N61" s="139">
        <v>31840619.539999932</v>
      </c>
      <c r="O61" s="141">
        <v>0</v>
      </c>
      <c r="P61" s="141">
        <v>78539949.34999993</v>
      </c>
      <c r="Q61" s="151">
        <v>9318.42</v>
      </c>
      <c r="S61" s="151">
        <v>9849938.203654276</v>
      </c>
      <c r="T61" s="151">
        <v>11081273.404859968</v>
      </c>
    </row>
    <row r="62" spans="1:20" ht="12.75">
      <c r="A62" s="136">
        <v>62</v>
      </c>
      <c r="B62" s="137">
        <v>6754725.86</v>
      </c>
      <c r="C62" s="138">
        <v>0</v>
      </c>
      <c r="D62" s="138">
        <v>0</v>
      </c>
      <c r="E62" s="138">
        <v>154000</v>
      </c>
      <c r="F62" s="138">
        <v>0</v>
      </c>
      <c r="G62" s="139">
        <v>6600725.86</v>
      </c>
      <c r="H62" s="138">
        <v>1885532.76</v>
      </c>
      <c r="I62" s="138">
        <v>1671960.63</v>
      </c>
      <c r="J62" s="138">
        <v>0</v>
      </c>
      <c r="K62" s="138">
        <v>0</v>
      </c>
      <c r="L62" s="138">
        <v>11302.03</v>
      </c>
      <c r="M62" s="140">
        <v>1660658.6</v>
      </c>
      <c r="N62" s="139">
        <v>8502596.909999998</v>
      </c>
      <c r="O62" s="141">
        <v>0</v>
      </c>
      <c r="P62" s="141">
        <v>18649514.13</v>
      </c>
      <c r="Q62" s="151">
        <v>2003.48</v>
      </c>
      <c r="S62" s="151">
        <v>2104568.657412115</v>
      </c>
      <c r="T62" s="151">
        <v>2347084.1537885503</v>
      </c>
    </row>
    <row r="63" spans="1:20" ht="12.75">
      <c r="A63" s="136">
        <v>63</v>
      </c>
      <c r="B63" s="137">
        <v>8373334.45</v>
      </c>
      <c r="C63" s="138">
        <v>0</v>
      </c>
      <c r="D63" s="138">
        <v>0</v>
      </c>
      <c r="E63" s="138">
        <v>190020.83</v>
      </c>
      <c r="F63" s="138">
        <v>0</v>
      </c>
      <c r="G63" s="139">
        <v>8183313.62</v>
      </c>
      <c r="H63" s="138">
        <v>2165471.62</v>
      </c>
      <c r="I63" s="138">
        <v>952188.04</v>
      </c>
      <c r="J63" s="138">
        <v>0</v>
      </c>
      <c r="K63" s="138">
        <v>0</v>
      </c>
      <c r="L63" s="138">
        <v>22405.03</v>
      </c>
      <c r="M63" s="140">
        <v>929783.01</v>
      </c>
      <c r="N63" s="139">
        <v>8522281.639999978</v>
      </c>
      <c r="O63" s="141">
        <v>0</v>
      </c>
      <c r="P63" s="141">
        <v>19800849.88999998</v>
      </c>
      <c r="Q63" s="151">
        <v>2549.14</v>
      </c>
      <c r="S63" s="151">
        <v>2502124.074505032</v>
      </c>
      <c r="T63" s="151">
        <v>2852833.0284966207</v>
      </c>
    </row>
    <row r="64" spans="1:20" ht="12.75">
      <c r="A64" s="136">
        <v>65</v>
      </c>
      <c r="B64" s="137">
        <v>8457976.46</v>
      </c>
      <c r="C64" s="138">
        <v>0</v>
      </c>
      <c r="D64" s="138">
        <v>0</v>
      </c>
      <c r="E64" s="138">
        <v>232000</v>
      </c>
      <c r="F64" s="138">
        <v>67440</v>
      </c>
      <c r="G64" s="139">
        <v>8158536.460000001</v>
      </c>
      <c r="H64" s="138">
        <v>1851464.36</v>
      </c>
      <c r="I64" s="138">
        <v>2875437.63</v>
      </c>
      <c r="J64" s="138">
        <v>0</v>
      </c>
      <c r="K64" s="138">
        <v>0</v>
      </c>
      <c r="L64" s="138">
        <v>338361.89</v>
      </c>
      <c r="M64" s="140">
        <v>2537075.74</v>
      </c>
      <c r="N64" s="139">
        <v>6199389.490000008</v>
      </c>
      <c r="O64" s="141">
        <v>0</v>
      </c>
      <c r="P64" s="141">
        <v>18746466.05000001</v>
      </c>
      <c r="Q64" s="151">
        <v>1938.21</v>
      </c>
      <c r="S64" s="151">
        <v>1926674.2100748175</v>
      </c>
      <c r="T64" s="151">
        <v>1970970.741062987</v>
      </c>
    </row>
    <row r="65" spans="1:20" ht="12.75">
      <c r="A65" s="136">
        <v>66</v>
      </c>
      <c r="B65" s="137">
        <v>3608524.27</v>
      </c>
      <c r="C65" s="138">
        <v>0</v>
      </c>
      <c r="D65" s="138">
        <v>0</v>
      </c>
      <c r="E65" s="138">
        <v>95226</v>
      </c>
      <c r="F65" s="138">
        <v>227864.38</v>
      </c>
      <c r="G65" s="139">
        <v>3285433.89</v>
      </c>
      <c r="H65" s="138">
        <v>1228750.5</v>
      </c>
      <c r="I65" s="138">
        <v>1204607.5</v>
      </c>
      <c r="J65" s="138">
        <v>0</v>
      </c>
      <c r="K65" s="138">
        <v>0</v>
      </c>
      <c r="L65" s="138">
        <v>61874.05</v>
      </c>
      <c r="M65" s="140">
        <v>1142733.45</v>
      </c>
      <c r="N65" s="139">
        <v>6791827.239999997</v>
      </c>
      <c r="O65" s="141">
        <v>0</v>
      </c>
      <c r="P65" s="141">
        <v>12448745.079999998</v>
      </c>
      <c r="Q65" s="151">
        <v>1431.53</v>
      </c>
      <c r="S65" s="151">
        <v>1391443.9598252096</v>
      </c>
      <c r="T65" s="151">
        <v>1573535.7063008267</v>
      </c>
    </row>
    <row r="66" spans="1:20" ht="12.75">
      <c r="A66" s="136">
        <v>67</v>
      </c>
      <c r="B66" s="137">
        <v>11458880.55</v>
      </c>
      <c r="C66" s="138">
        <v>783240.45</v>
      </c>
      <c r="D66" s="138">
        <v>1391268.69</v>
      </c>
      <c r="E66" s="138">
        <v>17432.22</v>
      </c>
      <c r="F66" s="138">
        <v>259579</v>
      </c>
      <c r="G66" s="139">
        <v>10573841.09</v>
      </c>
      <c r="H66" s="138">
        <v>2121108.58</v>
      </c>
      <c r="I66" s="138">
        <v>3439481.29</v>
      </c>
      <c r="J66" s="138">
        <v>64578.49</v>
      </c>
      <c r="K66" s="138">
        <v>58617</v>
      </c>
      <c r="L66" s="138">
        <v>36208.75</v>
      </c>
      <c r="M66" s="140">
        <v>3409234.03</v>
      </c>
      <c r="N66" s="139">
        <v>3861680.449999988</v>
      </c>
      <c r="O66" s="141">
        <v>0</v>
      </c>
      <c r="P66" s="141">
        <v>19965864.149999987</v>
      </c>
      <c r="Q66" s="151">
        <v>2306.22</v>
      </c>
      <c r="S66" s="151">
        <v>2284010.012987128</v>
      </c>
      <c r="T66" s="151">
        <v>2426400.5877646892</v>
      </c>
    </row>
    <row r="67" spans="1:20" ht="12.75">
      <c r="A67" s="136">
        <v>68</v>
      </c>
      <c r="B67" s="137">
        <v>14768681.960000003</v>
      </c>
      <c r="C67" s="138">
        <v>144533</v>
      </c>
      <c r="D67" s="138">
        <v>150345</v>
      </c>
      <c r="E67" s="138">
        <v>144335</v>
      </c>
      <c r="F67" s="138">
        <v>0</v>
      </c>
      <c r="G67" s="139">
        <v>14618534.960000003</v>
      </c>
      <c r="H67" s="138">
        <v>3529635.58</v>
      </c>
      <c r="I67" s="138">
        <v>2497237.73</v>
      </c>
      <c r="J67" s="138">
        <v>0</v>
      </c>
      <c r="K67" s="138">
        <v>0</v>
      </c>
      <c r="L67" s="138">
        <v>87817.3</v>
      </c>
      <c r="M67" s="140">
        <v>2409420.43</v>
      </c>
      <c r="N67" s="139">
        <v>12979566.709999993</v>
      </c>
      <c r="O67" s="141">
        <v>0</v>
      </c>
      <c r="P67" s="141">
        <v>33537157.679999996</v>
      </c>
      <c r="Q67" s="151">
        <v>4317.81</v>
      </c>
      <c r="S67" s="151">
        <v>4107041.3711349987</v>
      </c>
      <c r="T67" s="151">
        <v>4713784.199850769</v>
      </c>
    </row>
    <row r="68" spans="1:20" ht="12.75">
      <c r="A68" s="136">
        <v>69</v>
      </c>
      <c r="B68" s="137">
        <v>14448966.3</v>
      </c>
      <c r="C68" s="138">
        <v>0</v>
      </c>
      <c r="D68" s="138">
        <v>0</v>
      </c>
      <c r="E68" s="138">
        <v>653042.39</v>
      </c>
      <c r="F68" s="138">
        <v>0</v>
      </c>
      <c r="G68" s="139">
        <v>13795923.91</v>
      </c>
      <c r="H68" s="138">
        <v>2799031.5</v>
      </c>
      <c r="I68" s="138">
        <v>2292853.91</v>
      </c>
      <c r="J68" s="138">
        <v>0</v>
      </c>
      <c r="K68" s="138">
        <v>0</v>
      </c>
      <c r="L68" s="138">
        <v>70663.95</v>
      </c>
      <c r="M68" s="140">
        <v>2222189.96</v>
      </c>
      <c r="N68" s="139">
        <v>8960247.66999999</v>
      </c>
      <c r="O68" s="141">
        <v>0</v>
      </c>
      <c r="P68" s="141">
        <v>27777393.03999999</v>
      </c>
      <c r="Q68" s="151">
        <v>3529.39</v>
      </c>
      <c r="S68" s="151">
        <v>3107738.649570701</v>
      </c>
      <c r="T68" s="151">
        <v>3408900.9312110594</v>
      </c>
    </row>
    <row r="69" spans="1:20" ht="12.75">
      <c r="A69" s="136">
        <v>70</v>
      </c>
      <c r="B69" s="137">
        <v>11437311.440000001</v>
      </c>
      <c r="C69" s="138">
        <v>0</v>
      </c>
      <c r="D69" s="138">
        <v>0</v>
      </c>
      <c r="E69" s="138">
        <v>0</v>
      </c>
      <c r="F69" s="138">
        <v>0</v>
      </c>
      <c r="G69" s="139">
        <v>11437311.440000001</v>
      </c>
      <c r="H69" s="138">
        <v>2085756.76</v>
      </c>
      <c r="I69" s="138">
        <v>1946342.76</v>
      </c>
      <c r="J69" s="138">
        <v>0</v>
      </c>
      <c r="K69" s="138">
        <v>0</v>
      </c>
      <c r="L69" s="138">
        <v>0</v>
      </c>
      <c r="M69" s="140">
        <v>1946342.76</v>
      </c>
      <c r="N69" s="139">
        <v>4499432.319999989</v>
      </c>
      <c r="O69" s="141">
        <v>65943.42</v>
      </c>
      <c r="P69" s="141">
        <v>19968843.27999999</v>
      </c>
      <c r="Q69" s="151">
        <v>2565.31</v>
      </c>
      <c r="S69" s="151">
        <v>2365996.149586057</v>
      </c>
      <c r="T69" s="151">
        <v>2650704.051589685</v>
      </c>
    </row>
    <row r="70" spans="1:20" ht="12.75">
      <c r="A70" s="136">
        <v>71</v>
      </c>
      <c r="B70" s="137">
        <v>38519963.14000001</v>
      </c>
      <c r="C70" s="138">
        <v>39101.33</v>
      </c>
      <c r="D70" s="138">
        <v>0</v>
      </c>
      <c r="E70" s="138">
        <v>1260253.5</v>
      </c>
      <c r="F70" s="138">
        <v>0</v>
      </c>
      <c r="G70" s="139">
        <v>37298810.970000006</v>
      </c>
      <c r="H70" s="138">
        <v>7924350.73</v>
      </c>
      <c r="I70" s="138">
        <v>6667703.41</v>
      </c>
      <c r="J70" s="138">
        <v>0</v>
      </c>
      <c r="K70" s="138">
        <v>0</v>
      </c>
      <c r="L70" s="138">
        <v>74770.8</v>
      </c>
      <c r="M70" s="140">
        <v>6592932.61</v>
      </c>
      <c r="N70" s="139">
        <v>15550715.580000013</v>
      </c>
      <c r="O70" s="141">
        <v>65086.16</v>
      </c>
      <c r="P70" s="141">
        <v>67366809.89000002</v>
      </c>
      <c r="Q70" s="151">
        <v>9040.83</v>
      </c>
      <c r="S70" s="151">
        <v>8748539.538400747</v>
      </c>
      <c r="T70" s="151">
        <v>9543558.023580624</v>
      </c>
    </row>
    <row r="71" spans="1:20" ht="12.75">
      <c r="A71" s="136">
        <v>72</v>
      </c>
      <c r="B71" s="137">
        <v>14172550.700000001</v>
      </c>
      <c r="C71" s="138">
        <v>0</v>
      </c>
      <c r="D71" s="138">
        <v>0</v>
      </c>
      <c r="E71" s="138">
        <v>932183</v>
      </c>
      <c r="F71" s="138">
        <v>117668</v>
      </c>
      <c r="G71" s="139">
        <v>13122699.700000001</v>
      </c>
      <c r="H71" s="138">
        <v>3239196.2</v>
      </c>
      <c r="I71" s="138">
        <v>1292375.44</v>
      </c>
      <c r="J71" s="138">
        <v>0</v>
      </c>
      <c r="K71" s="138">
        <v>0</v>
      </c>
      <c r="L71" s="138">
        <v>16498.6</v>
      </c>
      <c r="M71" s="140">
        <v>1275876.84</v>
      </c>
      <c r="N71" s="139">
        <v>16702723.409999996</v>
      </c>
      <c r="O71" s="141">
        <v>0</v>
      </c>
      <c r="P71" s="141">
        <v>34340496.15</v>
      </c>
      <c r="Q71" s="151">
        <v>4144.57</v>
      </c>
      <c r="S71" s="151">
        <v>3731916.1234889585</v>
      </c>
      <c r="T71" s="151">
        <v>4243855.65016418</v>
      </c>
    </row>
    <row r="72" spans="1:20" ht="12.75">
      <c r="A72" s="136">
        <v>73</v>
      </c>
      <c r="B72" s="137">
        <v>12005235.39</v>
      </c>
      <c r="C72" s="138">
        <v>0</v>
      </c>
      <c r="D72" s="138">
        <v>0</v>
      </c>
      <c r="E72" s="138">
        <v>0</v>
      </c>
      <c r="F72" s="138">
        <v>0</v>
      </c>
      <c r="G72" s="139">
        <v>12005235.39</v>
      </c>
      <c r="H72" s="138">
        <v>2509285.3</v>
      </c>
      <c r="I72" s="138">
        <v>2456132.66</v>
      </c>
      <c r="J72" s="138">
        <v>0</v>
      </c>
      <c r="K72" s="138">
        <v>0</v>
      </c>
      <c r="L72" s="138">
        <v>0</v>
      </c>
      <c r="M72" s="140">
        <v>2456132.66</v>
      </c>
      <c r="N72" s="139">
        <v>5866028.409999989</v>
      </c>
      <c r="O72" s="141">
        <v>47049.05</v>
      </c>
      <c r="P72" s="141">
        <v>22836681.75999999</v>
      </c>
      <c r="Q72" s="151">
        <v>2638.48</v>
      </c>
      <c r="S72" s="151">
        <v>2881890.046864219</v>
      </c>
      <c r="T72" s="151">
        <v>3268178.225769522</v>
      </c>
    </row>
    <row r="73" spans="1:20" ht="12.75">
      <c r="A73" s="136">
        <v>74</v>
      </c>
      <c r="B73" s="137">
        <v>25260315.479999993</v>
      </c>
      <c r="C73" s="138">
        <v>0</v>
      </c>
      <c r="D73" s="138">
        <v>0</v>
      </c>
      <c r="E73" s="138">
        <v>735957</v>
      </c>
      <c r="F73" s="138">
        <v>57307</v>
      </c>
      <c r="G73" s="139">
        <v>24467051.479999993</v>
      </c>
      <c r="H73" s="138">
        <v>4781823.16</v>
      </c>
      <c r="I73" s="138">
        <v>6680879.130000001</v>
      </c>
      <c r="J73" s="138">
        <v>0</v>
      </c>
      <c r="K73" s="138">
        <v>0</v>
      </c>
      <c r="L73" s="138">
        <v>0</v>
      </c>
      <c r="M73" s="140">
        <v>6680879.130000001</v>
      </c>
      <c r="N73" s="139">
        <v>10804364.90000002</v>
      </c>
      <c r="O73" s="141">
        <v>432038.78</v>
      </c>
      <c r="P73" s="141">
        <v>46734118.67000002</v>
      </c>
      <c r="Q73" s="151">
        <v>6056.01</v>
      </c>
      <c r="S73" s="151">
        <v>5430421.368500721</v>
      </c>
      <c r="T73" s="151">
        <v>6157684.444169088</v>
      </c>
    </row>
    <row r="74" spans="1:20" ht="12.75">
      <c r="A74" s="136">
        <v>75</v>
      </c>
      <c r="B74" s="137">
        <v>234095586.83</v>
      </c>
      <c r="C74" s="138">
        <v>0</v>
      </c>
      <c r="D74" s="138">
        <v>0</v>
      </c>
      <c r="E74" s="138">
        <v>0</v>
      </c>
      <c r="F74" s="138">
        <v>165157</v>
      </c>
      <c r="G74" s="139">
        <v>233930429.83</v>
      </c>
      <c r="H74" s="138">
        <v>49469649.16</v>
      </c>
      <c r="I74" s="138">
        <v>27502131.960000005</v>
      </c>
      <c r="J74" s="138">
        <v>0</v>
      </c>
      <c r="K74" s="138">
        <v>0</v>
      </c>
      <c r="L74" s="138">
        <v>0</v>
      </c>
      <c r="M74" s="140">
        <v>27502131.960000005</v>
      </c>
      <c r="N74" s="139">
        <v>275984544.0099998</v>
      </c>
      <c r="O74" s="141">
        <v>246995.22</v>
      </c>
      <c r="P74" s="141">
        <v>586886754.9599998</v>
      </c>
      <c r="Q74" s="151">
        <v>65269.43</v>
      </c>
      <c r="S74" s="151">
        <v>58755442.13903393</v>
      </c>
      <c r="T74" s="151">
        <v>69383116.70172963</v>
      </c>
    </row>
    <row r="75" spans="1:20" ht="12.75">
      <c r="A75" s="136">
        <v>77</v>
      </c>
      <c r="B75" s="137">
        <v>19572638.98</v>
      </c>
      <c r="C75" s="138">
        <v>0</v>
      </c>
      <c r="D75" s="138">
        <v>0</v>
      </c>
      <c r="E75" s="138">
        <v>1139833.63</v>
      </c>
      <c r="F75" s="138">
        <v>271539</v>
      </c>
      <c r="G75" s="139">
        <v>18161266.35</v>
      </c>
      <c r="H75" s="138">
        <v>4286580.2</v>
      </c>
      <c r="I75" s="138">
        <v>4240060.55</v>
      </c>
      <c r="J75" s="138">
        <v>0</v>
      </c>
      <c r="K75" s="138">
        <v>0</v>
      </c>
      <c r="L75" s="138">
        <v>156856.01</v>
      </c>
      <c r="M75" s="140">
        <v>4083204.54</v>
      </c>
      <c r="N75" s="139">
        <v>12923300.630000006</v>
      </c>
      <c r="O75" s="141">
        <v>0</v>
      </c>
      <c r="P75" s="141">
        <v>39454351.720000006</v>
      </c>
      <c r="Q75" s="151">
        <v>4867.58</v>
      </c>
      <c r="S75" s="151">
        <v>4684811.597921787</v>
      </c>
      <c r="T75" s="151">
        <v>5056635.882199242</v>
      </c>
    </row>
    <row r="76" spans="1:20" ht="12.75">
      <c r="A76" s="136">
        <v>78</v>
      </c>
      <c r="B76" s="137">
        <v>2090291.69</v>
      </c>
      <c r="C76" s="138">
        <v>0</v>
      </c>
      <c r="D76" s="138">
        <v>0</v>
      </c>
      <c r="E76" s="138">
        <v>109590.65</v>
      </c>
      <c r="F76" s="138">
        <v>0</v>
      </c>
      <c r="G76" s="139">
        <v>1980701.04</v>
      </c>
      <c r="H76" s="138">
        <v>1034213.76</v>
      </c>
      <c r="I76" s="138">
        <v>582314.86</v>
      </c>
      <c r="J76" s="138">
        <v>0</v>
      </c>
      <c r="K76" s="138">
        <v>0</v>
      </c>
      <c r="L76" s="138">
        <v>73939.54</v>
      </c>
      <c r="M76" s="140">
        <v>508375.32</v>
      </c>
      <c r="N76" s="139">
        <v>6244035.089999994</v>
      </c>
      <c r="O76" s="141">
        <v>0</v>
      </c>
      <c r="P76" s="141">
        <v>9767325.209999993</v>
      </c>
      <c r="Q76" s="151">
        <v>1014.23</v>
      </c>
      <c r="S76" s="151">
        <v>1129243.0135324101</v>
      </c>
      <c r="T76" s="151">
        <v>1217891.050730396</v>
      </c>
    </row>
    <row r="77" spans="1:20" ht="12.75">
      <c r="A77" s="136">
        <v>79</v>
      </c>
      <c r="B77" s="137">
        <v>5216685.81</v>
      </c>
      <c r="C77" s="138">
        <v>0</v>
      </c>
      <c r="D77" s="138">
        <v>0</v>
      </c>
      <c r="E77" s="138">
        <v>286099.57</v>
      </c>
      <c r="F77" s="138">
        <v>23684</v>
      </c>
      <c r="G77" s="139">
        <v>4906902.24</v>
      </c>
      <c r="H77" s="138">
        <v>930930.98</v>
      </c>
      <c r="I77" s="138">
        <v>737070.72</v>
      </c>
      <c r="J77" s="138">
        <v>32773.21</v>
      </c>
      <c r="K77" s="138">
        <v>32872.85</v>
      </c>
      <c r="L77" s="138">
        <v>4390.95</v>
      </c>
      <c r="M77" s="140">
        <v>732580.13</v>
      </c>
      <c r="N77" s="139">
        <v>3263574.060000007</v>
      </c>
      <c r="O77" s="141">
        <v>0</v>
      </c>
      <c r="P77" s="141">
        <v>9833987.410000006</v>
      </c>
      <c r="Q77" s="151">
        <v>1212.64</v>
      </c>
      <c r="S77" s="151">
        <v>1036428.5192694723</v>
      </c>
      <c r="T77" s="151">
        <v>1139427.4816357207</v>
      </c>
    </row>
    <row r="78" spans="1:20" ht="12.75">
      <c r="A78" s="136">
        <v>80</v>
      </c>
      <c r="B78" s="137">
        <v>48803118.15</v>
      </c>
      <c r="C78" s="138">
        <v>26148.91</v>
      </c>
      <c r="D78" s="138">
        <v>25311.99</v>
      </c>
      <c r="E78" s="138">
        <v>1431.51</v>
      </c>
      <c r="F78" s="138">
        <v>76254</v>
      </c>
      <c r="G78" s="139">
        <v>48726269.559999995</v>
      </c>
      <c r="H78" s="138">
        <v>12384224.06</v>
      </c>
      <c r="I78" s="138">
        <v>5897503.76</v>
      </c>
      <c r="J78" s="138">
        <v>168833.72</v>
      </c>
      <c r="K78" s="138">
        <v>87792.42</v>
      </c>
      <c r="L78" s="138">
        <v>325160.18</v>
      </c>
      <c r="M78" s="140">
        <v>5653384.88</v>
      </c>
      <c r="N78" s="139">
        <v>52873717.97000016</v>
      </c>
      <c r="O78" s="141">
        <v>26075</v>
      </c>
      <c r="P78" s="141">
        <v>119637596.47000016</v>
      </c>
      <c r="Q78" s="151">
        <v>14516.16</v>
      </c>
      <c r="S78" s="151">
        <v>14090013.683232818</v>
      </c>
      <c r="T78" s="151">
        <v>15835995.119021002</v>
      </c>
    </row>
    <row r="79" spans="1:20" ht="12.75">
      <c r="A79" s="136">
        <v>81</v>
      </c>
      <c r="B79" s="137">
        <v>8555681</v>
      </c>
      <c r="C79" s="138">
        <v>0</v>
      </c>
      <c r="D79" s="138">
        <v>0</v>
      </c>
      <c r="E79" s="138">
        <v>496847.6</v>
      </c>
      <c r="F79" s="138">
        <v>0</v>
      </c>
      <c r="G79" s="139">
        <v>8058833.4</v>
      </c>
      <c r="H79" s="138">
        <v>2384514.22</v>
      </c>
      <c r="I79" s="138">
        <v>2678665.9</v>
      </c>
      <c r="J79" s="138">
        <v>0</v>
      </c>
      <c r="K79" s="138">
        <v>0</v>
      </c>
      <c r="L79" s="138">
        <v>268173.41</v>
      </c>
      <c r="M79" s="140">
        <v>2410492.49</v>
      </c>
      <c r="N79" s="139">
        <v>12067013.900000026</v>
      </c>
      <c r="O79" s="141">
        <v>927777.33</v>
      </c>
      <c r="P79" s="141">
        <v>24920854.010000028</v>
      </c>
      <c r="Q79" s="151">
        <v>2724.29</v>
      </c>
      <c r="S79" s="151">
        <v>2686206.154793192</v>
      </c>
      <c r="T79" s="151">
        <v>2990144.2744123028</v>
      </c>
    </row>
    <row r="80" spans="1:20" ht="12.75">
      <c r="A80" s="136">
        <v>82</v>
      </c>
      <c r="B80" s="137">
        <v>38469823.68000001</v>
      </c>
      <c r="C80" s="138">
        <v>0</v>
      </c>
      <c r="D80" s="138">
        <v>0</v>
      </c>
      <c r="E80" s="138">
        <v>1179671</v>
      </c>
      <c r="F80" s="138">
        <v>0</v>
      </c>
      <c r="G80" s="139">
        <v>37290152.68000001</v>
      </c>
      <c r="H80" s="138">
        <v>10320663.04</v>
      </c>
      <c r="I80" s="138">
        <v>6664225.04</v>
      </c>
      <c r="J80" s="138">
        <v>0</v>
      </c>
      <c r="K80" s="138">
        <v>0</v>
      </c>
      <c r="L80" s="138">
        <v>0</v>
      </c>
      <c r="M80" s="140">
        <v>6664225.04</v>
      </c>
      <c r="N80" s="139">
        <v>38057747.70000002</v>
      </c>
      <c r="O80" s="141">
        <v>0</v>
      </c>
      <c r="P80" s="141">
        <v>92332788.46000002</v>
      </c>
      <c r="Q80" s="151">
        <v>10946.62</v>
      </c>
      <c r="S80" s="151">
        <v>11478059.123849977</v>
      </c>
      <c r="T80" s="151">
        <v>12754594.302292066</v>
      </c>
    </row>
    <row r="81" spans="1:20" ht="12.75">
      <c r="A81" s="136">
        <v>83</v>
      </c>
      <c r="B81" s="137">
        <v>20234327.32</v>
      </c>
      <c r="C81" s="138">
        <v>0</v>
      </c>
      <c r="D81" s="138">
        <v>87075.84</v>
      </c>
      <c r="E81" s="138">
        <v>892881</v>
      </c>
      <c r="F81" s="138">
        <v>558373</v>
      </c>
      <c r="G81" s="139">
        <v>18695997.48</v>
      </c>
      <c r="H81" s="138">
        <v>3665497.42</v>
      </c>
      <c r="I81" s="138">
        <v>5240214.41</v>
      </c>
      <c r="J81" s="138">
        <v>0</v>
      </c>
      <c r="K81" s="138">
        <v>0</v>
      </c>
      <c r="L81" s="138">
        <v>0</v>
      </c>
      <c r="M81" s="140">
        <v>5240214.41</v>
      </c>
      <c r="N81" s="139">
        <v>6456608.930000003</v>
      </c>
      <c r="O81" s="141">
        <v>0</v>
      </c>
      <c r="P81" s="141">
        <v>34058318.24</v>
      </c>
      <c r="Q81" s="151">
        <v>4079.64</v>
      </c>
      <c r="S81" s="151">
        <v>3997210.886257189</v>
      </c>
      <c r="T81" s="151">
        <v>4305261.921629579</v>
      </c>
    </row>
    <row r="82" spans="1:20" ht="12.75">
      <c r="A82" s="136">
        <v>84</v>
      </c>
      <c r="B82" s="137">
        <v>18323840.21</v>
      </c>
      <c r="C82" s="138">
        <v>249127.3</v>
      </c>
      <c r="D82" s="138">
        <v>26744.52</v>
      </c>
      <c r="E82" s="138">
        <v>99337.37</v>
      </c>
      <c r="F82" s="138">
        <v>0</v>
      </c>
      <c r="G82" s="139">
        <v>18446885.62</v>
      </c>
      <c r="H82" s="138">
        <v>2977176.92</v>
      </c>
      <c r="I82" s="138">
        <v>3148117.82</v>
      </c>
      <c r="J82" s="138">
        <v>0</v>
      </c>
      <c r="K82" s="138">
        <v>0</v>
      </c>
      <c r="L82" s="138">
        <v>0</v>
      </c>
      <c r="M82" s="140">
        <v>3148117.82</v>
      </c>
      <c r="N82" s="139">
        <v>5039989.76</v>
      </c>
      <c r="O82" s="141">
        <v>0</v>
      </c>
      <c r="P82" s="141">
        <v>29612170.12</v>
      </c>
      <c r="Q82" s="151">
        <v>3653.85</v>
      </c>
      <c r="S82" s="151">
        <v>3312703.9910680223</v>
      </c>
      <c r="T82" s="151">
        <v>3641733.0438506934</v>
      </c>
    </row>
    <row r="83" spans="1:20" ht="12.75">
      <c r="A83" s="136">
        <v>85</v>
      </c>
      <c r="B83" s="137">
        <v>20897100.46</v>
      </c>
      <c r="C83" s="138">
        <v>0</v>
      </c>
      <c r="D83" s="138">
        <v>0</v>
      </c>
      <c r="E83" s="138">
        <v>467275.99</v>
      </c>
      <c r="F83" s="138">
        <v>0</v>
      </c>
      <c r="G83" s="139">
        <v>20429824.470000003</v>
      </c>
      <c r="H83" s="138">
        <v>4797944.78</v>
      </c>
      <c r="I83" s="138">
        <v>3206078.66</v>
      </c>
      <c r="J83" s="138">
        <v>0</v>
      </c>
      <c r="K83" s="138">
        <v>0</v>
      </c>
      <c r="L83" s="138">
        <v>82460.47</v>
      </c>
      <c r="M83" s="140">
        <v>3123618.19</v>
      </c>
      <c r="N83" s="139">
        <v>21875887.099999975</v>
      </c>
      <c r="O83" s="141">
        <v>0</v>
      </c>
      <c r="P83" s="141">
        <v>50227274.53999998</v>
      </c>
      <c r="Q83" s="151">
        <v>5860.18</v>
      </c>
      <c r="S83" s="151">
        <v>5395615.933152119</v>
      </c>
      <c r="T83" s="151">
        <v>6061310.712563672</v>
      </c>
    </row>
    <row r="84" spans="1:20" ht="12.75">
      <c r="A84" s="136">
        <v>86</v>
      </c>
      <c r="B84" s="137">
        <v>23083967.49</v>
      </c>
      <c r="C84" s="138">
        <v>0</v>
      </c>
      <c r="D84" s="138">
        <v>0</v>
      </c>
      <c r="E84" s="138">
        <v>636106.03</v>
      </c>
      <c r="F84" s="138">
        <v>0</v>
      </c>
      <c r="G84" s="139">
        <v>22447861.459999997</v>
      </c>
      <c r="H84" s="138">
        <v>4354511.12</v>
      </c>
      <c r="I84" s="138">
        <v>4089579.66</v>
      </c>
      <c r="J84" s="138">
        <v>0</v>
      </c>
      <c r="K84" s="138">
        <v>0</v>
      </c>
      <c r="L84" s="138">
        <v>126572.96</v>
      </c>
      <c r="M84" s="140">
        <v>3963006.7</v>
      </c>
      <c r="N84" s="139">
        <v>7671720.830000017</v>
      </c>
      <c r="O84" s="141">
        <v>0</v>
      </c>
      <c r="P84" s="141">
        <v>38437100.110000014</v>
      </c>
      <c r="Q84" s="151">
        <v>4966.97</v>
      </c>
      <c r="S84" s="151">
        <v>4508464.058822205</v>
      </c>
      <c r="T84" s="151">
        <v>4585001.602749726</v>
      </c>
    </row>
    <row r="85" spans="1:20" ht="12.75">
      <c r="A85" s="136">
        <v>87</v>
      </c>
      <c r="B85" s="137">
        <v>12164818.92</v>
      </c>
      <c r="C85" s="138">
        <v>78107.74</v>
      </c>
      <c r="D85" s="138">
        <v>39014.18</v>
      </c>
      <c r="E85" s="138">
        <v>577071.08</v>
      </c>
      <c r="F85" s="138">
        <v>0</v>
      </c>
      <c r="G85" s="139">
        <v>11626841.4</v>
      </c>
      <c r="H85" s="138">
        <v>2747043.5</v>
      </c>
      <c r="I85" s="138">
        <v>2169942.73</v>
      </c>
      <c r="J85" s="138">
        <v>183.36</v>
      </c>
      <c r="K85" s="138">
        <v>0</v>
      </c>
      <c r="L85" s="138">
        <v>85241.85</v>
      </c>
      <c r="M85" s="140">
        <v>2084884.24</v>
      </c>
      <c r="N85" s="139">
        <v>7790703.969999991</v>
      </c>
      <c r="O85" s="141">
        <v>0</v>
      </c>
      <c r="P85" s="141">
        <v>24249473.109999992</v>
      </c>
      <c r="Q85" s="151">
        <v>2799.71</v>
      </c>
      <c r="S85" s="151">
        <v>3118567.0072347107</v>
      </c>
      <c r="T85" s="151">
        <v>3497598.878883301</v>
      </c>
    </row>
    <row r="86" spans="1:20" ht="12.75">
      <c r="A86" s="136">
        <v>88</v>
      </c>
      <c r="B86" s="137">
        <v>76806916.37000002</v>
      </c>
      <c r="C86" s="138">
        <v>119850</v>
      </c>
      <c r="D86" s="138">
        <v>103342.27</v>
      </c>
      <c r="E86" s="138">
        <v>2492337.5</v>
      </c>
      <c r="F86" s="138">
        <v>1197900.61</v>
      </c>
      <c r="G86" s="139">
        <v>73133185.99000002</v>
      </c>
      <c r="H86" s="138">
        <v>18023877.46</v>
      </c>
      <c r="I86" s="138">
        <v>9351211.790000001</v>
      </c>
      <c r="J86" s="138">
        <v>0</v>
      </c>
      <c r="K86" s="138">
        <v>0</v>
      </c>
      <c r="L86" s="138">
        <v>24006.47</v>
      </c>
      <c r="M86" s="140">
        <v>9327205.32</v>
      </c>
      <c r="N86" s="139">
        <v>82427582.4600001</v>
      </c>
      <c r="O86" s="141">
        <v>263579.32</v>
      </c>
      <c r="P86" s="141">
        <v>182911851.2300001</v>
      </c>
      <c r="Q86" s="151">
        <v>22780.43</v>
      </c>
      <c r="S86" s="151">
        <v>21030990.945862852</v>
      </c>
      <c r="T86" s="151">
        <v>24203452.47106296</v>
      </c>
    </row>
    <row r="87" spans="1:20" ht="12.75">
      <c r="A87" s="136">
        <v>89</v>
      </c>
      <c r="B87" s="137">
        <v>86326442.92999999</v>
      </c>
      <c r="C87" s="138">
        <v>0</v>
      </c>
      <c r="D87" s="138">
        <v>0</v>
      </c>
      <c r="E87" s="138">
        <v>889552</v>
      </c>
      <c r="F87" s="138">
        <v>302210.52</v>
      </c>
      <c r="G87" s="139">
        <v>85134680.41</v>
      </c>
      <c r="H87" s="138">
        <v>19385939.78</v>
      </c>
      <c r="I87" s="138">
        <v>9704828.39</v>
      </c>
      <c r="J87" s="138">
        <v>0</v>
      </c>
      <c r="K87" s="138">
        <v>0</v>
      </c>
      <c r="L87" s="138">
        <v>2730</v>
      </c>
      <c r="M87" s="140">
        <v>9702098.39</v>
      </c>
      <c r="N87" s="139">
        <v>78372554.22000025</v>
      </c>
      <c r="O87" s="141">
        <v>0</v>
      </c>
      <c r="P87" s="141">
        <v>192595272.80000025</v>
      </c>
      <c r="Q87" s="151">
        <v>25469.52</v>
      </c>
      <c r="S87" s="151">
        <v>22915898.63351935</v>
      </c>
      <c r="T87" s="151">
        <v>26948824.524495132</v>
      </c>
    </row>
    <row r="88" spans="1:20" ht="12.75">
      <c r="A88" s="136">
        <v>90</v>
      </c>
      <c r="B88" s="137">
        <v>1762859.8</v>
      </c>
      <c r="C88" s="138">
        <v>0</v>
      </c>
      <c r="D88" s="138">
        <v>0</v>
      </c>
      <c r="E88" s="138">
        <v>0</v>
      </c>
      <c r="F88" s="138">
        <v>0</v>
      </c>
      <c r="G88" s="139">
        <v>1762859.8</v>
      </c>
      <c r="H88" s="138">
        <v>808239.4</v>
      </c>
      <c r="I88" s="138">
        <v>816345.58</v>
      </c>
      <c r="J88" s="138">
        <v>0</v>
      </c>
      <c r="K88" s="138">
        <v>0</v>
      </c>
      <c r="L88" s="138">
        <v>0</v>
      </c>
      <c r="M88" s="140">
        <v>816345.58</v>
      </c>
      <c r="N88" s="139">
        <v>9226955.520000007</v>
      </c>
      <c r="O88" s="141">
        <v>0</v>
      </c>
      <c r="P88" s="141">
        <v>12614400.300000008</v>
      </c>
      <c r="Q88" s="151">
        <v>1055.19</v>
      </c>
      <c r="S88" s="151">
        <v>962176.9238591221</v>
      </c>
      <c r="T88" s="151">
        <v>1126634.5084137628</v>
      </c>
    </row>
    <row r="89" spans="1:20" ht="12.75">
      <c r="A89" s="136">
        <v>91</v>
      </c>
      <c r="B89" s="137">
        <v>6577971.990000001</v>
      </c>
      <c r="C89" s="138">
        <v>13262.23</v>
      </c>
      <c r="D89" s="138">
        <v>0</v>
      </c>
      <c r="E89" s="138">
        <v>0</v>
      </c>
      <c r="F89" s="138">
        <v>0</v>
      </c>
      <c r="G89" s="139">
        <v>6591234.220000002</v>
      </c>
      <c r="H89" s="138">
        <v>1027281.98</v>
      </c>
      <c r="I89" s="138">
        <v>1678270.48</v>
      </c>
      <c r="J89" s="138">
        <v>43521.53</v>
      </c>
      <c r="K89" s="138">
        <v>0</v>
      </c>
      <c r="L89" s="138">
        <v>0</v>
      </c>
      <c r="M89" s="140">
        <v>1721792.01</v>
      </c>
      <c r="N89" s="139">
        <v>7292902.42</v>
      </c>
      <c r="O89" s="141">
        <v>0</v>
      </c>
      <c r="P89" s="141">
        <v>16633210.63</v>
      </c>
      <c r="Q89" s="151">
        <v>1368.25</v>
      </c>
      <c r="S89" s="151">
        <v>1225924.778389637</v>
      </c>
      <c r="T89" s="151">
        <v>1439635.9199110002</v>
      </c>
    </row>
    <row r="90" spans="1:20" ht="12.75">
      <c r="A90" s="136">
        <v>92</v>
      </c>
      <c r="B90" s="137">
        <v>30470361.64</v>
      </c>
      <c r="C90" s="138">
        <v>0</v>
      </c>
      <c r="D90" s="138">
        <v>0</v>
      </c>
      <c r="E90" s="138">
        <v>0</v>
      </c>
      <c r="F90" s="138">
        <v>0</v>
      </c>
      <c r="G90" s="139">
        <v>30470361.64</v>
      </c>
      <c r="H90" s="138">
        <v>5787992.34</v>
      </c>
      <c r="I90" s="138">
        <v>5673337.669999999</v>
      </c>
      <c r="J90" s="138">
        <v>0</v>
      </c>
      <c r="K90" s="138">
        <v>0</v>
      </c>
      <c r="L90" s="138">
        <v>0</v>
      </c>
      <c r="M90" s="140">
        <v>5673337.669999999</v>
      </c>
      <c r="N90" s="139">
        <v>10647593.559999935</v>
      </c>
      <c r="O90" s="141">
        <v>0</v>
      </c>
      <c r="P90" s="141">
        <v>52579285.20999994</v>
      </c>
      <c r="Q90" s="151">
        <v>6815.41</v>
      </c>
      <c r="S90" s="151">
        <v>6486186.240741638</v>
      </c>
      <c r="T90" s="151">
        <v>7181975.166807188</v>
      </c>
    </row>
    <row r="91" spans="1:20" ht="12.75">
      <c r="A91" s="136">
        <v>93</v>
      </c>
      <c r="B91" s="137">
        <v>17456746.52</v>
      </c>
      <c r="C91" s="138">
        <v>0</v>
      </c>
      <c r="D91" s="138">
        <v>0</v>
      </c>
      <c r="E91" s="138">
        <v>167141</v>
      </c>
      <c r="F91" s="138">
        <v>0</v>
      </c>
      <c r="G91" s="139">
        <v>17289605.52</v>
      </c>
      <c r="H91" s="138">
        <v>4299750.42</v>
      </c>
      <c r="I91" s="138">
        <v>2618213.41</v>
      </c>
      <c r="J91" s="138">
        <v>0</v>
      </c>
      <c r="K91" s="138">
        <v>0</v>
      </c>
      <c r="L91" s="138">
        <v>0</v>
      </c>
      <c r="M91" s="140">
        <v>2618213.41</v>
      </c>
      <c r="N91" s="139">
        <v>13918487.419999976</v>
      </c>
      <c r="O91" s="141">
        <v>0</v>
      </c>
      <c r="P91" s="141">
        <v>38126056.76999997</v>
      </c>
      <c r="Q91" s="151">
        <v>5181.48</v>
      </c>
      <c r="S91" s="151">
        <v>5004248.149010064</v>
      </c>
      <c r="T91" s="151">
        <v>5745750.706422043</v>
      </c>
    </row>
    <row r="92" spans="1:20" ht="12.75">
      <c r="A92" s="136">
        <v>94</v>
      </c>
      <c r="B92" s="137">
        <v>27346403.890000004</v>
      </c>
      <c r="C92" s="138">
        <v>183605</v>
      </c>
      <c r="D92" s="138">
        <v>16741</v>
      </c>
      <c r="E92" s="138">
        <v>0</v>
      </c>
      <c r="F92" s="138">
        <v>691228.45</v>
      </c>
      <c r="G92" s="139">
        <v>26822039.440000005</v>
      </c>
      <c r="H92" s="138">
        <v>5211272.6</v>
      </c>
      <c r="I92" s="138">
        <v>5391727.589999999</v>
      </c>
      <c r="J92" s="138">
        <v>0</v>
      </c>
      <c r="K92" s="138">
        <v>0</v>
      </c>
      <c r="L92" s="138">
        <v>32819.04</v>
      </c>
      <c r="M92" s="140">
        <v>5358908.55</v>
      </c>
      <c r="N92" s="139">
        <v>19033183.679999985</v>
      </c>
      <c r="O92" s="141">
        <v>53922.07</v>
      </c>
      <c r="P92" s="141">
        <v>56425404.26999999</v>
      </c>
      <c r="Q92" s="151">
        <v>7200.15</v>
      </c>
      <c r="S92" s="151">
        <v>6222438.386211122</v>
      </c>
      <c r="T92" s="151">
        <v>7310757.763908231</v>
      </c>
    </row>
    <row r="93" spans="1:20" ht="12.75">
      <c r="A93" s="136">
        <v>95</v>
      </c>
      <c r="B93" s="137">
        <v>7123686.119999999</v>
      </c>
      <c r="C93" s="138">
        <v>25289</v>
      </c>
      <c r="D93" s="138">
        <v>12459.19</v>
      </c>
      <c r="E93" s="138">
        <v>432868</v>
      </c>
      <c r="F93" s="138">
        <v>101542</v>
      </c>
      <c r="G93" s="139">
        <v>6602105.929999999</v>
      </c>
      <c r="H93" s="138">
        <v>1787401.53</v>
      </c>
      <c r="I93" s="138">
        <v>1945906.1</v>
      </c>
      <c r="J93" s="138">
        <v>0</v>
      </c>
      <c r="K93" s="138">
        <v>0</v>
      </c>
      <c r="L93" s="138">
        <v>104487.49</v>
      </c>
      <c r="M93" s="140">
        <v>1841418.61</v>
      </c>
      <c r="N93" s="139">
        <v>5195069.1</v>
      </c>
      <c r="O93" s="141">
        <v>0</v>
      </c>
      <c r="P93" s="141">
        <v>15425995.169999996</v>
      </c>
      <c r="Q93" s="151">
        <v>1813.61</v>
      </c>
      <c r="S93" s="151">
        <v>1834633.1699307377</v>
      </c>
      <c r="T93" s="151">
        <v>1870332.685050251</v>
      </c>
    </row>
    <row r="94" spans="1:20" ht="12.75">
      <c r="A94" s="136">
        <v>96</v>
      </c>
      <c r="B94" s="137">
        <v>31509636.639999997</v>
      </c>
      <c r="C94" s="138">
        <v>330149.43</v>
      </c>
      <c r="D94" s="138">
        <v>0</v>
      </c>
      <c r="E94" s="138">
        <v>1470485.73</v>
      </c>
      <c r="F94" s="138">
        <v>0</v>
      </c>
      <c r="G94" s="139">
        <v>30369300.339999996</v>
      </c>
      <c r="H94" s="138">
        <v>5524586.659999999</v>
      </c>
      <c r="I94" s="138">
        <v>8765913.6</v>
      </c>
      <c r="J94" s="138">
        <v>0</v>
      </c>
      <c r="K94" s="138">
        <v>0</v>
      </c>
      <c r="L94" s="138">
        <v>355590.83</v>
      </c>
      <c r="M94" s="140">
        <v>8410322.77</v>
      </c>
      <c r="N94" s="139">
        <v>10818445.970000044</v>
      </c>
      <c r="O94" s="141">
        <v>88034.3</v>
      </c>
      <c r="P94" s="141">
        <v>55122655.74000004</v>
      </c>
      <c r="Q94" s="151">
        <v>6630.45</v>
      </c>
      <c r="S94" s="151">
        <v>6090951.186005294</v>
      </c>
      <c r="T94" s="151">
        <v>6635288.777788852</v>
      </c>
    </row>
    <row r="95" spans="1:20" ht="12.75">
      <c r="A95" s="136">
        <v>97</v>
      </c>
      <c r="B95" s="137">
        <v>16891691.53</v>
      </c>
      <c r="C95" s="138">
        <v>0</v>
      </c>
      <c r="D95" s="138">
        <v>0</v>
      </c>
      <c r="E95" s="138">
        <v>211492.41</v>
      </c>
      <c r="F95" s="138">
        <v>80485</v>
      </c>
      <c r="G95" s="139">
        <v>16599714.120000001</v>
      </c>
      <c r="H95" s="138">
        <v>3600339.16</v>
      </c>
      <c r="I95" s="138">
        <v>3711467.14</v>
      </c>
      <c r="J95" s="138">
        <v>0</v>
      </c>
      <c r="K95" s="138">
        <v>0</v>
      </c>
      <c r="L95" s="138">
        <v>0</v>
      </c>
      <c r="M95" s="140">
        <v>3711467.14</v>
      </c>
      <c r="N95" s="139">
        <v>9162352.429999985</v>
      </c>
      <c r="O95" s="141">
        <v>0</v>
      </c>
      <c r="P95" s="141">
        <v>33073872.849999987</v>
      </c>
      <c r="Q95" s="151">
        <v>4177.28</v>
      </c>
      <c r="S95" s="151">
        <v>3968593.0838594497</v>
      </c>
      <c r="T95" s="151">
        <v>4322319.219258856</v>
      </c>
    </row>
    <row r="96" spans="1:20" ht="12.75">
      <c r="A96" s="136">
        <v>98</v>
      </c>
      <c r="B96" s="137">
        <v>40813716.56999999</v>
      </c>
      <c r="C96" s="138">
        <v>0</v>
      </c>
      <c r="D96" s="138">
        <v>0</v>
      </c>
      <c r="E96" s="138">
        <v>1156607</v>
      </c>
      <c r="F96" s="138">
        <v>0</v>
      </c>
      <c r="G96" s="139">
        <v>39657109.56999999</v>
      </c>
      <c r="H96" s="138">
        <v>9306537.08</v>
      </c>
      <c r="I96" s="138">
        <v>12537761.910000002</v>
      </c>
      <c r="J96" s="138">
        <v>0</v>
      </c>
      <c r="K96" s="138">
        <v>0</v>
      </c>
      <c r="L96" s="138">
        <v>0</v>
      </c>
      <c r="M96" s="140">
        <v>12537761.910000002</v>
      </c>
      <c r="N96" s="139">
        <v>39160562.84000004</v>
      </c>
      <c r="O96" s="141">
        <v>0</v>
      </c>
      <c r="P96" s="141">
        <v>100661971.40000004</v>
      </c>
      <c r="Q96" s="151">
        <v>12618.35</v>
      </c>
      <c r="S96" s="151">
        <v>10668252.661405845</v>
      </c>
      <c r="T96" s="151">
        <v>12075713.856646832</v>
      </c>
    </row>
    <row r="97" spans="1:20" ht="12.75">
      <c r="A97" s="136">
        <v>101</v>
      </c>
      <c r="B97" s="137">
        <v>14079829.160000002</v>
      </c>
      <c r="C97" s="138">
        <v>0</v>
      </c>
      <c r="D97" s="138">
        <v>0</v>
      </c>
      <c r="E97" s="138">
        <v>0</v>
      </c>
      <c r="F97" s="138">
        <v>0</v>
      </c>
      <c r="G97" s="139">
        <v>14079829.160000002</v>
      </c>
      <c r="H97" s="138">
        <v>9679464.01</v>
      </c>
      <c r="I97" s="138">
        <v>10700571.899999999</v>
      </c>
      <c r="J97" s="138">
        <v>0</v>
      </c>
      <c r="K97" s="138">
        <v>0</v>
      </c>
      <c r="L97" s="138">
        <v>212829.54</v>
      </c>
      <c r="M97" s="140">
        <v>10487742.36</v>
      </c>
      <c r="N97" s="139">
        <v>133006806.02999997</v>
      </c>
      <c r="O97" s="141">
        <v>0</v>
      </c>
      <c r="P97" s="141">
        <v>167253841.55999997</v>
      </c>
      <c r="Q97" s="151">
        <v>10479.04</v>
      </c>
      <c r="S97" s="151">
        <v>10764934.426263072</v>
      </c>
      <c r="T97" s="151">
        <v>11830088.770785239</v>
      </c>
    </row>
    <row r="98" spans="1:20" ht="12.75">
      <c r="A98" s="136">
        <v>102</v>
      </c>
      <c r="B98" s="137">
        <v>9513505.23</v>
      </c>
      <c r="C98" s="138">
        <v>59958.47</v>
      </c>
      <c r="D98" s="138">
        <v>0</v>
      </c>
      <c r="E98" s="138">
        <v>546522.12</v>
      </c>
      <c r="F98" s="138">
        <v>0</v>
      </c>
      <c r="G98" s="139">
        <v>9026941.580000002</v>
      </c>
      <c r="H98" s="138">
        <v>1971047.54</v>
      </c>
      <c r="I98" s="138">
        <v>2462235.2</v>
      </c>
      <c r="J98" s="138">
        <v>0</v>
      </c>
      <c r="K98" s="138">
        <v>0</v>
      </c>
      <c r="L98" s="138">
        <v>106726.91</v>
      </c>
      <c r="M98" s="140">
        <v>2355508.29</v>
      </c>
      <c r="N98" s="139">
        <v>6983746.790000014</v>
      </c>
      <c r="O98" s="141">
        <v>0</v>
      </c>
      <c r="P98" s="141">
        <v>20337244.200000014</v>
      </c>
      <c r="Q98" s="151">
        <v>2288.47</v>
      </c>
      <c r="S98" s="151">
        <v>2214399.142289925</v>
      </c>
      <c r="T98" s="151">
        <v>2485248.264585696</v>
      </c>
    </row>
    <row r="99" spans="1:20" ht="12.75">
      <c r="A99" s="136">
        <v>103</v>
      </c>
      <c r="B99" s="137">
        <v>5648493.169999999</v>
      </c>
      <c r="C99" s="138">
        <v>0</v>
      </c>
      <c r="D99" s="138">
        <v>0</v>
      </c>
      <c r="E99" s="138">
        <v>409684.45</v>
      </c>
      <c r="F99" s="138">
        <v>0</v>
      </c>
      <c r="G99" s="139">
        <v>5238808.72</v>
      </c>
      <c r="H99" s="138">
        <v>890726.96</v>
      </c>
      <c r="I99" s="138">
        <v>608446.96</v>
      </c>
      <c r="J99" s="138">
        <v>0</v>
      </c>
      <c r="K99" s="138">
        <v>0</v>
      </c>
      <c r="L99" s="138">
        <v>12164.88</v>
      </c>
      <c r="M99" s="140">
        <v>596282.08</v>
      </c>
      <c r="N99" s="139">
        <v>2596500.94</v>
      </c>
      <c r="O99" s="141">
        <v>0</v>
      </c>
      <c r="P99" s="141">
        <v>9322318.700000001</v>
      </c>
      <c r="Q99" s="151">
        <v>1122.67</v>
      </c>
      <c r="S99" s="151">
        <v>967591.1026911269</v>
      </c>
      <c r="T99" s="151">
        <v>1037083.695860057</v>
      </c>
    </row>
    <row r="100" spans="1:20" ht="12.75">
      <c r="A100" s="136">
        <v>104</v>
      </c>
      <c r="B100" s="137">
        <v>10806419.51</v>
      </c>
      <c r="C100" s="138">
        <v>101779.81</v>
      </c>
      <c r="D100" s="138">
        <v>0</v>
      </c>
      <c r="E100" s="138">
        <v>9641.62</v>
      </c>
      <c r="F100" s="138">
        <v>0</v>
      </c>
      <c r="G100" s="139">
        <v>10898557.700000001</v>
      </c>
      <c r="H100" s="138">
        <v>4636632.42</v>
      </c>
      <c r="I100" s="138">
        <v>4316696.85</v>
      </c>
      <c r="J100" s="138">
        <v>0</v>
      </c>
      <c r="K100" s="138">
        <v>0</v>
      </c>
      <c r="L100" s="138">
        <v>31215.32</v>
      </c>
      <c r="M100" s="140">
        <v>4285481.53</v>
      </c>
      <c r="N100" s="139">
        <v>32129515.570000045</v>
      </c>
      <c r="O100" s="141">
        <v>0</v>
      </c>
      <c r="P100" s="141">
        <v>51950187.22000004</v>
      </c>
      <c r="Q100" s="151">
        <v>4221.25</v>
      </c>
      <c r="S100" s="151">
        <v>5049108.487903818</v>
      </c>
      <c r="T100" s="151">
        <v>5429337.83539895</v>
      </c>
    </row>
    <row r="101" spans="1:20" ht="12.75">
      <c r="A101" s="136">
        <v>106</v>
      </c>
      <c r="B101" s="137">
        <v>8384358.97</v>
      </c>
      <c r="C101" s="138">
        <v>0</v>
      </c>
      <c r="D101" s="138">
        <v>0</v>
      </c>
      <c r="E101" s="138">
        <v>0</v>
      </c>
      <c r="F101" s="138">
        <v>0</v>
      </c>
      <c r="G101" s="139">
        <v>8384358.97</v>
      </c>
      <c r="H101" s="138">
        <v>2297867.6</v>
      </c>
      <c r="I101" s="138">
        <v>1109455.46</v>
      </c>
      <c r="J101" s="138">
        <v>0</v>
      </c>
      <c r="K101" s="138">
        <v>0</v>
      </c>
      <c r="L101" s="138">
        <v>0</v>
      </c>
      <c r="M101" s="140">
        <v>1109455.46</v>
      </c>
      <c r="N101" s="139">
        <v>15024468.270000022</v>
      </c>
      <c r="O101" s="141">
        <v>100251.04</v>
      </c>
      <c r="P101" s="141">
        <v>26816150.300000023</v>
      </c>
      <c r="Q101" s="151">
        <v>2859.97</v>
      </c>
      <c r="S101" s="151">
        <v>2598032.3852434014</v>
      </c>
      <c r="T101" s="151">
        <v>2902299.1916215247</v>
      </c>
    </row>
    <row r="102" spans="1:20" ht="12.75">
      <c r="A102" s="136">
        <v>107</v>
      </c>
      <c r="B102" s="137">
        <v>3690935.9</v>
      </c>
      <c r="C102" s="138">
        <v>326774</v>
      </c>
      <c r="D102" s="138">
        <v>112513</v>
      </c>
      <c r="E102" s="138">
        <v>168104.66</v>
      </c>
      <c r="F102" s="138">
        <v>0</v>
      </c>
      <c r="G102" s="139">
        <v>3737092.24</v>
      </c>
      <c r="H102" s="138">
        <v>703745.28</v>
      </c>
      <c r="I102" s="138">
        <v>1187264.99</v>
      </c>
      <c r="J102" s="138">
        <v>0</v>
      </c>
      <c r="K102" s="138">
        <v>0</v>
      </c>
      <c r="L102" s="138">
        <v>39142.63</v>
      </c>
      <c r="M102" s="140">
        <v>1148122.36</v>
      </c>
      <c r="N102" s="139">
        <v>3511853.99</v>
      </c>
      <c r="O102" s="141">
        <v>0</v>
      </c>
      <c r="P102" s="141">
        <v>9100813.869999997</v>
      </c>
      <c r="Q102" s="151">
        <v>828.99</v>
      </c>
      <c r="S102" s="151">
        <v>681413.0787137351</v>
      </c>
      <c r="T102" s="151">
        <v>645618.7152681442</v>
      </c>
    </row>
    <row r="103" spans="1:20" ht="12.75">
      <c r="A103" s="136">
        <v>108</v>
      </c>
      <c r="B103" s="137">
        <v>29384837.9</v>
      </c>
      <c r="C103" s="138">
        <v>596787.09</v>
      </c>
      <c r="D103" s="138">
        <v>335602.29</v>
      </c>
      <c r="E103" s="138">
        <v>1858386.58</v>
      </c>
      <c r="F103" s="138">
        <v>0</v>
      </c>
      <c r="G103" s="139">
        <v>27787636.119999997</v>
      </c>
      <c r="H103" s="138">
        <v>7111259.06</v>
      </c>
      <c r="I103" s="138">
        <v>8942834.09</v>
      </c>
      <c r="J103" s="138">
        <v>1228281.71</v>
      </c>
      <c r="K103" s="138">
        <v>950529.83</v>
      </c>
      <c r="L103" s="138">
        <v>862317.67</v>
      </c>
      <c r="M103" s="140">
        <v>8358268.300000001</v>
      </c>
      <c r="N103" s="139">
        <v>16051864.699999928</v>
      </c>
      <c r="O103" s="141">
        <v>0</v>
      </c>
      <c r="P103" s="141">
        <v>59309028.17999993</v>
      </c>
      <c r="Q103" s="151">
        <v>7008.59</v>
      </c>
      <c r="S103" s="151">
        <v>7350907.945624676</v>
      </c>
      <c r="T103" s="151">
        <v>7461714.847927336</v>
      </c>
    </row>
    <row r="104" spans="1:20" ht="12.75">
      <c r="A104" s="136">
        <v>109</v>
      </c>
      <c r="B104" s="137">
        <v>2424080.03</v>
      </c>
      <c r="C104" s="138">
        <v>0</v>
      </c>
      <c r="D104" s="138">
        <v>0</v>
      </c>
      <c r="E104" s="138">
        <v>261778</v>
      </c>
      <c r="F104" s="138">
        <v>0</v>
      </c>
      <c r="G104" s="139">
        <v>2162302.03</v>
      </c>
      <c r="H104" s="138">
        <v>1570809.98</v>
      </c>
      <c r="I104" s="138">
        <v>571979.57</v>
      </c>
      <c r="J104" s="138">
        <v>0</v>
      </c>
      <c r="K104" s="138">
        <v>0</v>
      </c>
      <c r="L104" s="138">
        <v>0</v>
      </c>
      <c r="M104" s="140">
        <v>571979.57</v>
      </c>
      <c r="N104" s="139">
        <v>24456831.229999974</v>
      </c>
      <c r="O104" s="141">
        <v>0</v>
      </c>
      <c r="P104" s="141">
        <v>28761922.809999973</v>
      </c>
      <c r="Q104" s="151">
        <v>1871.55</v>
      </c>
      <c r="S104" s="151">
        <v>1758061.2121638139</v>
      </c>
      <c r="T104" s="151">
        <v>1965853.5517742033</v>
      </c>
    </row>
    <row r="105" spans="1:20" ht="12.75">
      <c r="A105" s="136">
        <v>110</v>
      </c>
      <c r="B105" s="137">
        <v>4735314.71</v>
      </c>
      <c r="C105" s="138">
        <v>28890.36</v>
      </c>
      <c r="D105" s="138">
        <v>0</v>
      </c>
      <c r="E105" s="138">
        <v>441184.75</v>
      </c>
      <c r="F105" s="138">
        <v>0</v>
      </c>
      <c r="G105" s="139">
        <v>4323020.32</v>
      </c>
      <c r="H105" s="138">
        <v>2039038.92</v>
      </c>
      <c r="I105" s="138">
        <v>2688563.4</v>
      </c>
      <c r="J105" s="138">
        <v>0</v>
      </c>
      <c r="K105" s="138">
        <v>0</v>
      </c>
      <c r="L105" s="138">
        <v>0</v>
      </c>
      <c r="M105" s="140">
        <v>2688563.4</v>
      </c>
      <c r="N105" s="139">
        <v>15458672.910000011</v>
      </c>
      <c r="O105" s="141">
        <v>0</v>
      </c>
      <c r="P105" s="141">
        <v>24509295.550000012</v>
      </c>
      <c r="Q105" s="151">
        <v>2427.69</v>
      </c>
      <c r="S105" s="151">
        <v>2326549.989524308</v>
      </c>
      <c r="T105" s="151">
        <v>2649851.186708221</v>
      </c>
    </row>
    <row r="106" spans="1:20" ht="12.75">
      <c r="A106" s="136">
        <v>111</v>
      </c>
      <c r="B106" s="137">
        <v>5438186.11</v>
      </c>
      <c r="C106" s="138">
        <v>0</v>
      </c>
      <c r="D106" s="138">
        <v>159759</v>
      </c>
      <c r="E106" s="138">
        <v>138295.81</v>
      </c>
      <c r="F106" s="138">
        <v>0</v>
      </c>
      <c r="G106" s="139">
        <v>5140131.3</v>
      </c>
      <c r="H106" s="138">
        <v>849829.8</v>
      </c>
      <c r="I106" s="138">
        <v>1239530.16</v>
      </c>
      <c r="J106" s="138">
        <v>0</v>
      </c>
      <c r="K106" s="138">
        <v>0</v>
      </c>
      <c r="L106" s="138">
        <v>37026.83</v>
      </c>
      <c r="M106" s="140">
        <v>1202503.33</v>
      </c>
      <c r="N106" s="139">
        <v>2864153.6799999857</v>
      </c>
      <c r="O106" s="141">
        <v>0</v>
      </c>
      <c r="P106" s="141">
        <v>10056618.109999986</v>
      </c>
      <c r="Q106" s="151">
        <v>1302.8</v>
      </c>
      <c r="S106" s="151">
        <v>977646.0062362783</v>
      </c>
      <c r="T106" s="151">
        <v>1109577.2107844853</v>
      </c>
    </row>
    <row r="107" spans="1:20" ht="12.75">
      <c r="A107" s="136">
        <v>112</v>
      </c>
      <c r="B107" s="137">
        <v>93618096.12000002</v>
      </c>
      <c r="C107" s="138">
        <v>0</v>
      </c>
      <c r="D107" s="138">
        <v>0</v>
      </c>
      <c r="E107" s="138">
        <v>87635.94</v>
      </c>
      <c r="F107" s="138">
        <v>0</v>
      </c>
      <c r="G107" s="139">
        <v>93530460.18000002</v>
      </c>
      <c r="H107" s="138">
        <v>21595796.48</v>
      </c>
      <c r="I107" s="138">
        <v>20359381.29</v>
      </c>
      <c r="J107" s="138">
        <v>0</v>
      </c>
      <c r="K107" s="138">
        <v>0</v>
      </c>
      <c r="L107" s="138">
        <v>998927.11</v>
      </c>
      <c r="M107" s="140">
        <v>19360454.18</v>
      </c>
      <c r="N107" s="139">
        <v>57841966.06999999</v>
      </c>
      <c r="O107" s="141">
        <v>0</v>
      </c>
      <c r="P107" s="141">
        <v>192328676.91000003</v>
      </c>
      <c r="Q107" s="151">
        <v>22520.59</v>
      </c>
      <c r="S107" s="151">
        <v>23475879.41557241</v>
      </c>
      <c r="T107" s="151">
        <v>25200451.517494217</v>
      </c>
    </row>
    <row r="108" spans="1:20" ht="12.75">
      <c r="A108" s="136">
        <v>113</v>
      </c>
      <c r="B108" s="137">
        <v>13292693.32</v>
      </c>
      <c r="C108" s="138">
        <v>0</v>
      </c>
      <c r="D108" s="138">
        <v>0</v>
      </c>
      <c r="E108" s="138">
        <v>514579.43</v>
      </c>
      <c r="F108" s="138">
        <v>0</v>
      </c>
      <c r="G108" s="139">
        <v>12778113.89</v>
      </c>
      <c r="H108" s="138">
        <v>3304354.41</v>
      </c>
      <c r="I108" s="138">
        <v>4122710.61</v>
      </c>
      <c r="J108" s="138">
        <v>0</v>
      </c>
      <c r="K108" s="138">
        <v>0</v>
      </c>
      <c r="L108" s="138">
        <v>323670.41</v>
      </c>
      <c r="M108" s="140">
        <v>3799040.2</v>
      </c>
      <c r="N108" s="139">
        <v>20714368.90000002</v>
      </c>
      <c r="O108" s="141">
        <v>0</v>
      </c>
      <c r="P108" s="141">
        <v>40595877.40000002</v>
      </c>
      <c r="Q108" s="151">
        <v>4126.78</v>
      </c>
      <c r="S108" s="151">
        <v>3658437.982197466</v>
      </c>
      <c r="T108" s="151">
        <v>4002494.888709908</v>
      </c>
    </row>
    <row r="109" spans="1:20" ht="12.75">
      <c r="A109" s="136">
        <v>114</v>
      </c>
      <c r="B109" s="137">
        <v>17607358.169999998</v>
      </c>
      <c r="C109" s="138">
        <v>0</v>
      </c>
      <c r="D109" s="138">
        <v>92275</v>
      </c>
      <c r="E109" s="138">
        <v>508362</v>
      </c>
      <c r="F109" s="138">
        <v>0</v>
      </c>
      <c r="G109" s="139">
        <v>17006721.169999998</v>
      </c>
      <c r="H109" s="138">
        <v>3268490.38</v>
      </c>
      <c r="I109" s="138">
        <v>3947555.72</v>
      </c>
      <c r="J109" s="138">
        <v>0</v>
      </c>
      <c r="K109" s="138">
        <v>0</v>
      </c>
      <c r="L109" s="138">
        <v>188059.54</v>
      </c>
      <c r="M109" s="140">
        <v>3759496.18</v>
      </c>
      <c r="N109" s="139">
        <v>9903780.76999998</v>
      </c>
      <c r="O109" s="141">
        <v>128208.01</v>
      </c>
      <c r="P109" s="141">
        <v>33938488.49999998</v>
      </c>
      <c r="Q109" s="151">
        <v>3816.76</v>
      </c>
      <c r="S109" s="151">
        <v>3462754.0901264385</v>
      </c>
      <c r="T109" s="151">
        <v>3659643.206361435</v>
      </c>
    </row>
    <row r="110" spans="1:20" ht="12.75">
      <c r="A110" s="136">
        <v>115</v>
      </c>
      <c r="B110" s="137">
        <v>29793563.78</v>
      </c>
      <c r="C110" s="138">
        <v>0</v>
      </c>
      <c r="D110" s="138">
        <v>0</v>
      </c>
      <c r="E110" s="138">
        <v>1062100</v>
      </c>
      <c r="F110" s="138">
        <v>583880</v>
      </c>
      <c r="G110" s="139">
        <v>28147583.78</v>
      </c>
      <c r="H110" s="138">
        <v>9131857.59</v>
      </c>
      <c r="I110" s="138">
        <v>8748394.149999999</v>
      </c>
      <c r="J110" s="138">
        <v>-69796.24</v>
      </c>
      <c r="K110" s="138">
        <v>259539.28</v>
      </c>
      <c r="L110" s="138">
        <v>0</v>
      </c>
      <c r="M110" s="140">
        <v>8419058.629999999</v>
      </c>
      <c r="N110" s="139">
        <v>27598612.980000004</v>
      </c>
      <c r="O110" s="141">
        <v>0</v>
      </c>
      <c r="P110" s="141">
        <v>73297112.98</v>
      </c>
      <c r="Q110" s="151">
        <v>8520.48</v>
      </c>
      <c r="S110" s="151">
        <v>9542876.918467725</v>
      </c>
      <c r="T110" s="151">
        <v>9808799.001715885</v>
      </c>
    </row>
    <row r="111" spans="1:20" ht="12.75">
      <c r="A111" s="136">
        <v>116</v>
      </c>
      <c r="B111" s="137">
        <v>10899804.350000001</v>
      </c>
      <c r="C111" s="138">
        <v>0</v>
      </c>
      <c r="D111" s="138">
        <v>0</v>
      </c>
      <c r="E111" s="138">
        <v>63946.7</v>
      </c>
      <c r="F111" s="138">
        <v>0</v>
      </c>
      <c r="G111" s="139">
        <v>10835857.650000002</v>
      </c>
      <c r="H111" s="138">
        <v>2417093.3</v>
      </c>
      <c r="I111" s="138">
        <v>4639688.19</v>
      </c>
      <c r="J111" s="138">
        <v>0</v>
      </c>
      <c r="K111" s="138">
        <v>0</v>
      </c>
      <c r="L111" s="138">
        <v>0</v>
      </c>
      <c r="M111" s="140">
        <v>4639688.19</v>
      </c>
      <c r="N111" s="139">
        <v>4623437.930000011</v>
      </c>
      <c r="O111" s="141">
        <v>0</v>
      </c>
      <c r="P111" s="141">
        <v>22516077.070000015</v>
      </c>
      <c r="Q111" s="151">
        <v>2575.83</v>
      </c>
      <c r="S111" s="151">
        <v>2648306.902969159</v>
      </c>
      <c r="T111" s="151">
        <v>2865626.0017185784</v>
      </c>
    </row>
    <row r="112" spans="1:20" ht="12.75">
      <c r="A112" s="136">
        <v>117</v>
      </c>
      <c r="B112" s="137">
        <v>127914663.82000001</v>
      </c>
      <c r="C112" s="138">
        <v>2254588</v>
      </c>
      <c r="D112" s="138">
        <v>1169553</v>
      </c>
      <c r="E112" s="138">
        <v>987361</v>
      </c>
      <c r="F112" s="138">
        <v>0</v>
      </c>
      <c r="G112" s="139">
        <v>128012337.82000001</v>
      </c>
      <c r="H112" s="138">
        <v>31262693.02</v>
      </c>
      <c r="I112" s="138">
        <v>30867948.400000006</v>
      </c>
      <c r="J112" s="138">
        <v>0</v>
      </c>
      <c r="K112" s="138">
        <v>0</v>
      </c>
      <c r="L112" s="138">
        <v>1271226</v>
      </c>
      <c r="M112" s="140">
        <v>29596722.400000006</v>
      </c>
      <c r="N112" s="139">
        <v>79189640.37</v>
      </c>
      <c r="O112" s="141">
        <v>129299.39</v>
      </c>
      <c r="P112" s="141">
        <v>268061393.61</v>
      </c>
      <c r="Q112" s="151">
        <v>31326.84</v>
      </c>
      <c r="S112" s="151">
        <v>33465812.814739946</v>
      </c>
      <c r="T112" s="151">
        <v>35764888.80418708</v>
      </c>
    </row>
    <row r="113" spans="1:20" ht="12.75">
      <c r="A113" s="136">
        <v>118</v>
      </c>
      <c r="B113" s="137">
        <v>147224779.29</v>
      </c>
      <c r="C113" s="138">
        <v>0</v>
      </c>
      <c r="D113" s="138">
        <v>0</v>
      </c>
      <c r="E113" s="138">
        <v>4700824.87</v>
      </c>
      <c r="F113" s="138">
        <v>0</v>
      </c>
      <c r="G113" s="139">
        <v>142523954.42</v>
      </c>
      <c r="H113" s="138">
        <v>32220179.08</v>
      </c>
      <c r="I113" s="138">
        <v>42760130.34000001</v>
      </c>
      <c r="J113" s="138">
        <v>0</v>
      </c>
      <c r="K113" s="138">
        <v>0</v>
      </c>
      <c r="L113" s="138">
        <v>6898280.78</v>
      </c>
      <c r="M113" s="140">
        <v>35861849.56000001</v>
      </c>
      <c r="N113" s="139">
        <v>95178369.37999994</v>
      </c>
      <c r="O113" s="141">
        <v>0</v>
      </c>
      <c r="P113" s="141">
        <v>305784352.43999994</v>
      </c>
      <c r="Q113" s="151">
        <v>33693.02</v>
      </c>
      <c r="S113" s="151">
        <v>33903587.84601347</v>
      </c>
      <c r="T113" s="151">
        <v>35565318.42192454</v>
      </c>
    </row>
    <row r="114" spans="1:20" ht="12.75">
      <c r="A114" s="136">
        <v>119</v>
      </c>
      <c r="B114" s="137">
        <v>2968972.59</v>
      </c>
      <c r="C114" s="138">
        <v>0</v>
      </c>
      <c r="D114" s="138">
        <v>0</v>
      </c>
      <c r="E114" s="138">
        <v>0</v>
      </c>
      <c r="F114" s="138">
        <v>0</v>
      </c>
      <c r="G114" s="139">
        <v>2968972.59</v>
      </c>
      <c r="H114" s="138">
        <v>587117.32</v>
      </c>
      <c r="I114" s="138">
        <v>908041.91</v>
      </c>
      <c r="J114" s="138">
        <v>0</v>
      </c>
      <c r="K114" s="138">
        <v>0</v>
      </c>
      <c r="L114" s="138">
        <v>0</v>
      </c>
      <c r="M114" s="140">
        <v>908041.91</v>
      </c>
      <c r="N114" s="139">
        <v>1314987.67</v>
      </c>
      <c r="O114" s="141">
        <v>0</v>
      </c>
      <c r="P114" s="141">
        <v>5779119.489999999</v>
      </c>
      <c r="Q114" s="151">
        <v>718.82</v>
      </c>
      <c r="S114" s="151">
        <v>653568.7304348539</v>
      </c>
      <c r="T114" s="151">
        <v>718965.0950740363</v>
      </c>
    </row>
    <row r="115" spans="1:20" ht="12.75">
      <c r="A115" s="136">
        <v>120</v>
      </c>
      <c r="B115" s="137">
        <v>26832785.959999993</v>
      </c>
      <c r="C115" s="138">
        <v>0</v>
      </c>
      <c r="D115" s="138">
        <v>0</v>
      </c>
      <c r="E115" s="138">
        <v>0</v>
      </c>
      <c r="F115" s="138">
        <v>96826</v>
      </c>
      <c r="G115" s="139">
        <v>26735959.959999993</v>
      </c>
      <c r="H115" s="138">
        <v>3924744.04</v>
      </c>
      <c r="I115" s="138">
        <v>6401704.660000002</v>
      </c>
      <c r="J115" s="138">
        <v>0</v>
      </c>
      <c r="K115" s="138">
        <v>0</v>
      </c>
      <c r="L115" s="138">
        <v>0</v>
      </c>
      <c r="M115" s="140">
        <v>6401704.660000002</v>
      </c>
      <c r="N115" s="139">
        <v>7819401.179999992</v>
      </c>
      <c r="O115" s="141">
        <v>84290.67</v>
      </c>
      <c r="P115" s="141">
        <v>44881809.83999999</v>
      </c>
      <c r="Q115" s="151">
        <v>5038.58</v>
      </c>
      <c r="S115" s="151">
        <v>4259411.832549988</v>
      </c>
      <c r="T115" s="151">
        <v>4564532.845594593</v>
      </c>
    </row>
    <row r="116" spans="1:20" ht="12.75">
      <c r="A116" s="136">
        <v>121</v>
      </c>
      <c r="B116" s="137">
        <v>72078138.96000001</v>
      </c>
      <c r="C116" s="138">
        <v>0</v>
      </c>
      <c r="D116" s="138">
        <v>0</v>
      </c>
      <c r="E116" s="138">
        <v>0</v>
      </c>
      <c r="F116" s="138">
        <v>0</v>
      </c>
      <c r="G116" s="139">
        <v>72078138.96000001</v>
      </c>
      <c r="H116" s="138">
        <v>12536028.84</v>
      </c>
      <c r="I116" s="138">
        <v>16037624.279999997</v>
      </c>
      <c r="J116" s="138">
        <v>0</v>
      </c>
      <c r="K116" s="138">
        <v>0</v>
      </c>
      <c r="L116" s="138">
        <v>450941.23</v>
      </c>
      <c r="M116" s="140">
        <v>15586683.049999997</v>
      </c>
      <c r="N116" s="139">
        <v>32881851.05000007</v>
      </c>
      <c r="O116" s="141">
        <v>0</v>
      </c>
      <c r="P116" s="141">
        <v>133082701.90000008</v>
      </c>
      <c r="Q116" s="151">
        <v>15219.67</v>
      </c>
      <c r="S116" s="151">
        <v>13168829.827673161</v>
      </c>
      <c r="T116" s="151">
        <v>13617693.562333494</v>
      </c>
    </row>
    <row r="117" spans="1:20" ht="12.75">
      <c r="A117" s="136">
        <v>122</v>
      </c>
      <c r="B117" s="137">
        <v>6084466.409999999</v>
      </c>
      <c r="C117" s="138">
        <v>0</v>
      </c>
      <c r="D117" s="138">
        <v>0</v>
      </c>
      <c r="E117" s="138">
        <v>0</v>
      </c>
      <c r="F117" s="138">
        <v>0</v>
      </c>
      <c r="G117" s="139">
        <v>6084466.409999999</v>
      </c>
      <c r="H117" s="138">
        <v>1116701.29</v>
      </c>
      <c r="I117" s="138">
        <v>771987.47</v>
      </c>
      <c r="J117" s="138">
        <v>0</v>
      </c>
      <c r="K117" s="138">
        <v>0</v>
      </c>
      <c r="L117" s="138">
        <v>0</v>
      </c>
      <c r="M117" s="140">
        <v>771987.47</v>
      </c>
      <c r="N117" s="139">
        <v>4517219.020000006</v>
      </c>
      <c r="O117" s="141">
        <v>0</v>
      </c>
      <c r="P117" s="141">
        <v>12490374.190000005</v>
      </c>
      <c r="Q117" s="151">
        <v>1528.17</v>
      </c>
      <c r="S117" s="151">
        <v>1215869.8748444857</v>
      </c>
      <c r="T117" s="151">
        <v>1306588.9984026377</v>
      </c>
    </row>
    <row r="118" spans="1:20" ht="12.75">
      <c r="A118" s="136">
        <v>123</v>
      </c>
      <c r="B118" s="137">
        <v>87817312.71000002</v>
      </c>
      <c r="C118" s="138">
        <v>0</v>
      </c>
      <c r="D118" s="138">
        <v>0</v>
      </c>
      <c r="E118" s="138">
        <v>0</v>
      </c>
      <c r="F118" s="138">
        <v>1368678</v>
      </c>
      <c r="G118" s="139">
        <v>86448634.71000002</v>
      </c>
      <c r="H118" s="138">
        <v>24430872.97</v>
      </c>
      <c r="I118" s="138">
        <v>33859642.849999994</v>
      </c>
      <c r="J118" s="138">
        <v>0</v>
      </c>
      <c r="K118" s="138">
        <v>0</v>
      </c>
      <c r="L118" s="138">
        <v>795311.08</v>
      </c>
      <c r="M118" s="140">
        <v>33064331.769999996</v>
      </c>
      <c r="N118" s="139">
        <v>141363248.27999964</v>
      </c>
      <c r="O118" s="141">
        <v>0</v>
      </c>
      <c r="P118" s="141">
        <v>285307087.72999966</v>
      </c>
      <c r="Q118" s="151">
        <v>23384.2</v>
      </c>
      <c r="S118" s="151">
        <v>27030674.545842923</v>
      </c>
      <c r="T118" s="151">
        <v>29551768.142722845</v>
      </c>
    </row>
    <row r="119" spans="1:20" ht="12.75">
      <c r="A119" s="136">
        <v>124</v>
      </c>
      <c r="B119" s="137">
        <v>51643297.47999999</v>
      </c>
      <c r="C119" s="138">
        <v>0</v>
      </c>
      <c r="D119" s="138">
        <v>0</v>
      </c>
      <c r="E119" s="138">
        <v>1392671.22</v>
      </c>
      <c r="F119" s="138">
        <v>446628</v>
      </c>
      <c r="G119" s="139">
        <v>49803998.25999999</v>
      </c>
      <c r="H119" s="138">
        <v>11191232.36</v>
      </c>
      <c r="I119" s="138">
        <v>14868608.200000001</v>
      </c>
      <c r="J119" s="138">
        <v>0</v>
      </c>
      <c r="K119" s="138">
        <v>0</v>
      </c>
      <c r="L119" s="138">
        <v>696930.15</v>
      </c>
      <c r="M119" s="140">
        <v>14171678.05</v>
      </c>
      <c r="N119" s="139">
        <v>48034081.96000022</v>
      </c>
      <c r="O119" s="141">
        <v>1551889.18</v>
      </c>
      <c r="P119" s="141">
        <v>123200990.6300002</v>
      </c>
      <c r="Q119" s="151">
        <v>12714.73</v>
      </c>
      <c r="S119" s="151">
        <v>12272396.503916953</v>
      </c>
      <c r="T119" s="151">
        <v>13447973.450922187</v>
      </c>
    </row>
    <row r="120" spans="1:20" ht="12.75">
      <c r="A120" s="136">
        <v>126</v>
      </c>
      <c r="B120" s="137">
        <v>9514838.399999999</v>
      </c>
      <c r="C120" s="138">
        <v>0</v>
      </c>
      <c r="D120" s="138">
        <v>0</v>
      </c>
      <c r="E120" s="138">
        <v>580929.07</v>
      </c>
      <c r="F120" s="138">
        <v>263149</v>
      </c>
      <c r="G120" s="139">
        <v>8670760.329999998</v>
      </c>
      <c r="H120" s="138">
        <v>2758827.46</v>
      </c>
      <c r="I120" s="138">
        <v>2215683.77</v>
      </c>
      <c r="J120" s="138">
        <v>0</v>
      </c>
      <c r="K120" s="138">
        <v>0</v>
      </c>
      <c r="L120" s="138">
        <v>96786.65</v>
      </c>
      <c r="M120" s="140">
        <v>2118897.12</v>
      </c>
      <c r="N120" s="139">
        <v>10467189.100000009</v>
      </c>
      <c r="O120" s="141">
        <v>0</v>
      </c>
      <c r="P120" s="141">
        <v>24015674.01000001</v>
      </c>
      <c r="Q120" s="151">
        <v>2633.28</v>
      </c>
      <c r="S120" s="151">
        <v>3334360.706396041</v>
      </c>
      <c r="T120" s="151">
        <v>3958145.9148737867</v>
      </c>
    </row>
    <row r="121" spans="1:20" ht="12.75">
      <c r="A121" s="136">
        <v>127</v>
      </c>
      <c r="B121" s="137">
        <v>51477855.88</v>
      </c>
      <c r="C121" s="138">
        <v>275511</v>
      </c>
      <c r="D121" s="138">
        <v>212159.84</v>
      </c>
      <c r="E121" s="138">
        <v>1796544.51</v>
      </c>
      <c r="F121" s="138">
        <v>0</v>
      </c>
      <c r="G121" s="139">
        <v>49744662.53</v>
      </c>
      <c r="H121" s="138">
        <v>11560734.82</v>
      </c>
      <c r="I121" s="138">
        <v>10441665.170000002</v>
      </c>
      <c r="J121" s="138">
        <v>896076.01</v>
      </c>
      <c r="K121" s="138">
        <v>687337.11</v>
      </c>
      <c r="L121" s="138">
        <v>560053.37</v>
      </c>
      <c r="M121" s="140">
        <v>10090350.700000003</v>
      </c>
      <c r="N121" s="139">
        <v>35761533.29000005</v>
      </c>
      <c r="O121" s="141">
        <v>41875</v>
      </c>
      <c r="P121" s="141">
        <v>107157281.34000006</v>
      </c>
      <c r="Q121" s="151">
        <v>13330.6</v>
      </c>
      <c r="S121" s="151">
        <v>13588815.414212955</v>
      </c>
      <c r="T121" s="151">
        <v>15743885.711822907</v>
      </c>
    </row>
    <row r="122" spans="1:20" ht="12.75">
      <c r="A122" s="136">
        <v>128</v>
      </c>
      <c r="B122" s="137">
        <v>259916439.1</v>
      </c>
      <c r="C122" s="138">
        <v>7734876.88</v>
      </c>
      <c r="D122" s="138">
        <v>15670566.36</v>
      </c>
      <c r="E122" s="138">
        <v>4596135.17</v>
      </c>
      <c r="F122" s="138">
        <v>0</v>
      </c>
      <c r="G122" s="139">
        <v>247384614.45000002</v>
      </c>
      <c r="H122" s="138">
        <v>64861558.949999996</v>
      </c>
      <c r="I122" s="138">
        <v>58440741.09</v>
      </c>
      <c r="J122" s="138">
        <v>0</v>
      </c>
      <c r="K122" s="138">
        <v>0</v>
      </c>
      <c r="L122" s="138">
        <v>183808.36</v>
      </c>
      <c r="M122" s="140">
        <v>58256932.730000004</v>
      </c>
      <c r="N122" s="139">
        <v>270318729.35999984</v>
      </c>
      <c r="O122" s="141">
        <v>0</v>
      </c>
      <c r="P122" s="141">
        <v>640821835.4899999</v>
      </c>
      <c r="Q122" s="151">
        <v>74229.84</v>
      </c>
      <c r="S122" s="151">
        <v>72686897.7279009</v>
      </c>
      <c r="T122" s="151">
        <v>80495093.24232228</v>
      </c>
    </row>
    <row r="123" spans="1:20" ht="12.75">
      <c r="A123" s="136">
        <v>130</v>
      </c>
      <c r="B123" s="137">
        <v>10869281.28</v>
      </c>
      <c r="C123" s="138">
        <v>0</v>
      </c>
      <c r="D123" s="138">
        <v>0</v>
      </c>
      <c r="E123" s="138">
        <v>0</v>
      </c>
      <c r="F123" s="138">
        <v>0</v>
      </c>
      <c r="G123" s="139">
        <v>10869281.28</v>
      </c>
      <c r="H123" s="138">
        <v>2505819.44</v>
      </c>
      <c r="I123" s="138">
        <v>2318801.58</v>
      </c>
      <c r="J123" s="138">
        <v>0</v>
      </c>
      <c r="K123" s="138">
        <v>0</v>
      </c>
      <c r="L123" s="138">
        <v>0</v>
      </c>
      <c r="M123" s="140">
        <v>2318801.58</v>
      </c>
      <c r="N123" s="139">
        <v>10214531.699999994</v>
      </c>
      <c r="O123" s="141">
        <v>0</v>
      </c>
      <c r="P123" s="141">
        <v>25908433.999999993</v>
      </c>
      <c r="Q123" s="151">
        <v>2939.23</v>
      </c>
      <c r="S123" s="151">
        <v>2951500.9175614226</v>
      </c>
      <c r="T123" s="151">
        <v>3425958.228840336</v>
      </c>
    </row>
    <row r="124" spans="1:20" ht="12.75">
      <c r="A124" s="136">
        <v>131</v>
      </c>
      <c r="B124" s="137">
        <v>1813121.42</v>
      </c>
      <c r="C124" s="138">
        <v>0</v>
      </c>
      <c r="D124" s="138">
        <v>0</v>
      </c>
      <c r="E124" s="138">
        <v>745854.08</v>
      </c>
      <c r="F124" s="138">
        <v>0</v>
      </c>
      <c r="G124" s="139">
        <v>1067267.34</v>
      </c>
      <c r="H124" s="138">
        <v>657483.1</v>
      </c>
      <c r="I124" s="138">
        <v>4186444.68</v>
      </c>
      <c r="J124" s="138">
        <v>0</v>
      </c>
      <c r="K124" s="138">
        <v>0</v>
      </c>
      <c r="L124" s="138">
        <v>117821.46</v>
      </c>
      <c r="M124" s="140">
        <v>4068623.22</v>
      </c>
      <c r="N124" s="139">
        <v>5567725.71999998</v>
      </c>
      <c r="O124" s="141">
        <v>76899727.66</v>
      </c>
      <c r="P124" s="141">
        <v>11361099.37999998</v>
      </c>
      <c r="Q124" s="151">
        <v>718.58</v>
      </c>
      <c r="S124" s="151">
        <v>721632.6928943415</v>
      </c>
      <c r="T124" s="151">
        <v>790951.4667977134</v>
      </c>
    </row>
    <row r="125" spans="1:20" ht="12.75">
      <c r="A125" s="136">
        <v>132</v>
      </c>
      <c r="B125" s="137">
        <v>10221072.5</v>
      </c>
      <c r="C125" s="138">
        <v>0</v>
      </c>
      <c r="D125" s="138">
        <v>0</v>
      </c>
      <c r="E125" s="138">
        <v>0</v>
      </c>
      <c r="F125" s="138">
        <v>0</v>
      </c>
      <c r="G125" s="139">
        <v>10221072.5</v>
      </c>
      <c r="H125" s="138">
        <v>2927268.46</v>
      </c>
      <c r="I125" s="138">
        <v>2793690.4</v>
      </c>
      <c r="J125" s="138">
        <v>0</v>
      </c>
      <c r="K125" s="138">
        <v>0</v>
      </c>
      <c r="L125" s="138">
        <v>0</v>
      </c>
      <c r="M125" s="140">
        <v>2793690.4</v>
      </c>
      <c r="N125" s="139">
        <v>22299180.600000024</v>
      </c>
      <c r="O125" s="141">
        <v>0</v>
      </c>
      <c r="P125" s="141">
        <v>38241211.96000002</v>
      </c>
      <c r="Q125" s="151">
        <v>3646.61</v>
      </c>
      <c r="S125" s="151">
        <v>3351376.6970109134</v>
      </c>
      <c r="T125" s="151">
        <v>3789278.668343942</v>
      </c>
    </row>
    <row r="126" spans="1:20" ht="12.75">
      <c r="A126" s="136">
        <v>134</v>
      </c>
      <c r="B126" s="137">
        <v>3179682.14</v>
      </c>
      <c r="C126" s="138">
        <v>0</v>
      </c>
      <c r="D126" s="138">
        <v>0</v>
      </c>
      <c r="E126" s="138">
        <v>0</v>
      </c>
      <c r="F126" s="138">
        <v>0</v>
      </c>
      <c r="G126" s="139">
        <v>3179682.14</v>
      </c>
      <c r="H126" s="138">
        <v>2473933.48</v>
      </c>
      <c r="I126" s="138">
        <v>164280</v>
      </c>
      <c r="J126" s="138">
        <v>0</v>
      </c>
      <c r="K126" s="138">
        <v>0</v>
      </c>
      <c r="L126" s="138">
        <v>0</v>
      </c>
      <c r="M126" s="140">
        <v>164280</v>
      </c>
      <c r="N126" s="139">
        <v>24058802.38</v>
      </c>
      <c r="O126" s="141">
        <v>0</v>
      </c>
      <c r="P126" s="141">
        <v>29876698</v>
      </c>
      <c r="Q126" s="151">
        <v>2714.62</v>
      </c>
      <c r="S126" s="151">
        <v>2727199.223092656</v>
      </c>
      <c r="T126" s="151">
        <v>2971360.294930681</v>
      </c>
    </row>
    <row r="127" spans="1:20" ht="12.75">
      <c r="A127" s="136">
        <v>135</v>
      </c>
      <c r="B127" s="137">
        <v>6961497.98</v>
      </c>
      <c r="C127" s="138">
        <v>0</v>
      </c>
      <c r="D127" s="138">
        <v>0</v>
      </c>
      <c r="E127" s="138">
        <v>349897.89</v>
      </c>
      <c r="F127" s="138">
        <v>0</v>
      </c>
      <c r="G127" s="139">
        <v>6611600.090000001</v>
      </c>
      <c r="H127" s="138">
        <v>1083428.98</v>
      </c>
      <c r="I127" s="138">
        <v>2184005.17</v>
      </c>
      <c r="J127" s="138">
        <v>0</v>
      </c>
      <c r="K127" s="138">
        <v>0</v>
      </c>
      <c r="L127" s="138">
        <v>72571.73</v>
      </c>
      <c r="M127" s="140">
        <v>2111433.44</v>
      </c>
      <c r="N127" s="139">
        <v>4135745.55</v>
      </c>
      <c r="O127" s="141">
        <v>0</v>
      </c>
      <c r="P127" s="141">
        <v>13942208.059999999</v>
      </c>
      <c r="Q127" s="151">
        <v>1377.86</v>
      </c>
      <c r="S127" s="151">
        <v>1186478.6183278884</v>
      </c>
      <c r="T127" s="151">
        <v>1282708.7817216495</v>
      </c>
    </row>
    <row r="128" spans="1:20" ht="12.75">
      <c r="A128" s="136">
        <v>136</v>
      </c>
      <c r="B128" s="137">
        <v>145833289.65999997</v>
      </c>
      <c r="C128" s="138">
        <v>0</v>
      </c>
      <c r="D128" s="138">
        <v>0</v>
      </c>
      <c r="E128" s="138">
        <v>1693511.27</v>
      </c>
      <c r="F128" s="138">
        <v>0</v>
      </c>
      <c r="G128" s="139">
        <v>144139778.38999996</v>
      </c>
      <c r="H128" s="138">
        <v>34644773.15</v>
      </c>
      <c r="I128" s="138">
        <v>21054058.75</v>
      </c>
      <c r="J128" s="138">
        <v>0</v>
      </c>
      <c r="K128" s="138">
        <v>0</v>
      </c>
      <c r="L128" s="138">
        <v>193151.49</v>
      </c>
      <c r="M128" s="140">
        <v>20860907.26</v>
      </c>
      <c r="N128" s="139">
        <v>138968750.45999956</v>
      </c>
      <c r="O128" s="141">
        <v>1500</v>
      </c>
      <c r="P128" s="141">
        <v>338614209.2599995</v>
      </c>
      <c r="Q128" s="151">
        <v>40124.5</v>
      </c>
      <c r="S128" s="151">
        <v>39672008.664455056</v>
      </c>
      <c r="T128" s="151">
        <v>44863251.35964356</v>
      </c>
    </row>
    <row r="129" spans="1:20" ht="12.75">
      <c r="A129" s="136">
        <v>137</v>
      </c>
      <c r="B129" s="137">
        <v>2707986.93</v>
      </c>
      <c r="C129" s="138">
        <v>43386.5</v>
      </c>
      <c r="D129" s="138">
        <v>3001</v>
      </c>
      <c r="E129" s="138">
        <v>209505</v>
      </c>
      <c r="F129" s="138">
        <v>0</v>
      </c>
      <c r="G129" s="139">
        <v>2538867.43</v>
      </c>
      <c r="H129" s="138">
        <v>397187.98</v>
      </c>
      <c r="I129" s="138">
        <v>275169.94</v>
      </c>
      <c r="J129" s="138">
        <v>0</v>
      </c>
      <c r="K129" s="138">
        <v>0</v>
      </c>
      <c r="L129" s="138">
        <v>2772.5</v>
      </c>
      <c r="M129" s="140">
        <v>272397.44</v>
      </c>
      <c r="N129" s="139">
        <v>1996609.65</v>
      </c>
      <c r="O129" s="141">
        <v>0</v>
      </c>
      <c r="P129" s="141">
        <v>5205062.5</v>
      </c>
      <c r="Q129" s="151">
        <v>652.89</v>
      </c>
      <c r="S129" s="151">
        <v>477994.6454541298</v>
      </c>
      <c r="T129" s="151">
        <v>565449.4164105409</v>
      </c>
    </row>
    <row r="130" spans="1:20" ht="12.75">
      <c r="A130" s="136">
        <v>138</v>
      </c>
      <c r="B130" s="137">
        <v>4211302.81</v>
      </c>
      <c r="C130" s="138">
        <v>0</v>
      </c>
      <c r="D130" s="138">
        <v>0</v>
      </c>
      <c r="E130" s="138">
        <v>192571</v>
      </c>
      <c r="F130" s="138">
        <v>0</v>
      </c>
      <c r="G130" s="139">
        <v>4018731.81</v>
      </c>
      <c r="H130" s="138">
        <v>810318.92</v>
      </c>
      <c r="I130" s="138">
        <v>684607</v>
      </c>
      <c r="J130" s="138">
        <v>0</v>
      </c>
      <c r="K130" s="138">
        <v>0</v>
      </c>
      <c r="L130" s="138">
        <v>0</v>
      </c>
      <c r="M130" s="140">
        <v>684607</v>
      </c>
      <c r="N130" s="139">
        <v>2550588</v>
      </c>
      <c r="O130" s="141">
        <v>0</v>
      </c>
      <c r="P130" s="141">
        <v>8064245.73</v>
      </c>
      <c r="Q130" s="151">
        <v>934.72</v>
      </c>
      <c r="S130" s="151">
        <v>904941.3190636438</v>
      </c>
      <c r="T130" s="151">
        <v>999373.9828671388</v>
      </c>
    </row>
    <row r="131" spans="1:20" ht="12.75">
      <c r="A131" s="136">
        <v>139</v>
      </c>
      <c r="B131" s="137">
        <v>12277670.02</v>
      </c>
      <c r="C131" s="138">
        <v>0</v>
      </c>
      <c r="D131" s="138">
        <v>0</v>
      </c>
      <c r="E131" s="138">
        <v>282677</v>
      </c>
      <c r="F131" s="138">
        <v>0</v>
      </c>
      <c r="G131" s="139">
        <v>11994993.02</v>
      </c>
      <c r="H131" s="138">
        <v>3201071.66</v>
      </c>
      <c r="I131" s="138">
        <v>1705739.12</v>
      </c>
      <c r="J131" s="138">
        <v>0</v>
      </c>
      <c r="K131" s="138">
        <v>0</v>
      </c>
      <c r="L131" s="138">
        <v>0</v>
      </c>
      <c r="M131" s="140">
        <v>1705739.12</v>
      </c>
      <c r="N131" s="139">
        <v>15957046.2</v>
      </c>
      <c r="O131" s="141">
        <v>0</v>
      </c>
      <c r="P131" s="141">
        <v>32858850</v>
      </c>
      <c r="Q131" s="151">
        <v>3918.17</v>
      </c>
      <c r="S131" s="151">
        <v>3417120.2971138274</v>
      </c>
      <c r="T131" s="151">
        <v>3597384.070014573</v>
      </c>
    </row>
    <row r="132" spans="1:20" ht="12.75">
      <c r="A132" s="136">
        <v>140</v>
      </c>
      <c r="B132" s="137">
        <v>3412537.22</v>
      </c>
      <c r="C132" s="138">
        <v>0</v>
      </c>
      <c r="D132" s="138">
        <v>0</v>
      </c>
      <c r="E132" s="138">
        <v>0</v>
      </c>
      <c r="F132" s="138">
        <v>0</v>
      </c>
      <c r="G132" s="139">
        <v>3412537.22</v>
      </c>
      <c r="H132" s="138">
        <v>774273.9</v>
      </c>
      <c r="I132" s="138">
        <v>244515</v>
      </c>
      <c r="J132" s="138">
        <v>0</v>
      </c>
      <c r="K132" s="138">
        <v>0</v>
      </c>
      <c r="L132" s="138">
        <v>0</v>
      </c>
      <c r="M132" s="140">
        <v>244515</v>
      </c>
      <c r="N132" s="139">
        <v>1635391.88</v>
      </c>
      <c r="O132" s="141">
        <v>0</v>
      </c>
      <c r="P132" s="141">
        <v>6066718</v>
      </c>
      <c r="Q132" s="151">
        <v>909.44</v>
      </c>
      <c r="S132" s="151">
        <v>781188.6600463933</v>
      </c>
      <c r="T132" s="151">
        <v>769626.7969283356</v>
      </c>
    </row>
    <row r="133" spans="1:20" ht="12.75">
      <c r="A133" s="136">
        <v>142</v>
      </c>
      <c r="B133" s="137">
        <v>9153024.48</v>
      </c>
      <c r="C133" s="138">
        <v>0</v>
      </c>
      <c r="D133" s="138">
        <v>0</v>
      </c>
      <c r="E133" s="138">
        <v>349600.92</v>
      </c>
      <c r="F133" s="138">
        <v>0</v>
      </c>
      <c r="G133" s="139">
        <v>8803423.56</v>
      </c>
      <c r="H133" s="138">
        <v>1888202.52</v>
      </c>
      <c r="I133" s="138">
        <v>834675.18</v>
      </c>
      <c r="J133" s="138">
        <v>0</v>
      </c>
      <c r="K133" s="138">
        <v>0</v>
      </c>
      <c r="L133" s="138">
        <v>25771.49</v>
      </c>
      <c r="M133" s="140">
        <v>808903.69</v>
      </c>
      <c r="N133" s="139">
        <v>7054193.19000002</v>
      </c>
      <c r="O133" s="141">
        <v>0</v>
      </c>
      <c r="P133" s="141">
        <v>18554722.96000002</v>
      </c>
      <c r="Q133" s="151">
        <v>2568.33</v>
      </c>
      <c r="S133" s="151">
        <v>2147882.088068153</v>
      </c>
      <c r="T133" s="151">
        <v>2412754.7496612677</v>
      </c>
    </row>
    <row r="134" spans="1:20" ht="12.75">
      <c r="A134" s="136">
        <v>143</v>
      </c>
      <c r="B134" s="137">
        <v>22636546.130000003</v>
      </c>
      <c r="C134" s="138">
        <v>0</v>
      </c>
      <c r="D134" s="138">
        <v>0</v>
      </c>
      <c r="E134" s="138">
        <v>179817</v>
      </c>
      <c r="F134" s="138">
        <v>0</v>
      </c>
      <c r="G134" s="139">
        <v>22456729.130000003</v>
      </c>
      <c r="H134" s="138">
        <v>5715902.359999999</v>
      </c>
      <c r="I134" s="138">
        <v>2479325.81</v>
      </c>
      <c r="J134" s="138">
        <v>0</v>
      </c>
      <c r="K134" s="138">
        <v>0</v>
      </c>
      <c r="L134" s="138">
        <v>89040.78</v>
      </c>
      <c r="M134" s="140">
        <v>2390285.03</v>
      </c>
      <c r="N134" s="139">
        <v>37358997.289999954</v>
      </c>
      <c r="O134" s="141">
        <v>0</v>
      </c>
      <c r="P134" s="141">
        <v>67921913.80999996</v>
      </c>
      <c r="Q134" s="151">
        <v>6611.62</v>
      </c>
      <c r="S134" s="151">
        <v>6541101.4831805425</v>
      </c>
      <c r="T134" s="151">
        <v>7392632.792528762</v>
      </c>
    </row>
    <row r="135" spans="1:20" ht="12.75">
      <c r="A135" s="136">
        <v>144</v>
      </c>
      <c r="B135" s="137">
        <v>9421684.870000001</v>
      </c>
      <c r="C135" s="138">
        <v>0</v>
      </c>
      <c r="D135" s="138">
        <v>14874</v>
      </c>
      <c r="E135" s="138">
        <v>300774.5</v>
      </c>
      <c r="F135" s="138">
        <v>0</v>
      </c>
      <c r="G135" s="139">
        <v>9106036.370000001</v>
      </c>
      <c r="H135" s="138">
        <v>1738335</v>
      </c>
      <c r="I135" s="138">
        <v>1054482.88</v>
      </c>
      <c r="J135" s="138">
        <v>0</v>
      </c>
      <c r="K135" s="138">
        <v>0</v>
      </c>
      <c r="L135" s="138">
        <v>26000</v>
      </c>
      <c r="M135" s="140">
        <v>1028482.88</v>
      </c>
      <c r="N135" s="139">
        <v>11036882.309999984</v>
      </c>
      <c r="O135" s="141">
        <v>0</v>
      </c>
      <c r="P135" s="141">
        <v>22909736.559999984</v>
      </c>
      <c r="Q135" s="151">
        <v>2328.79</v>
      </c>
      <c r="S135" s="151">
        <v>1937502.567738827</v>
      </c>
      <c r="T135" s="151">
        <v>2157748.1501035728</v>
      </c>
    </row>
    <row r="136" spans="1:20" ht="12.75">
      <c r="A136" s="136">
        <v>202</v>
      </c>
      <c r="B136" s="137">
        <v>2935028.02</v>
      </c>
      <c r="C136" s="138">
        <v>0</v>
      </c>
      <c r="D136" s="138">
        <v>0</v>
      </c>
      <c r="E136" s="138">
        <v>196615.31</v>
      </c>
      <c r="F136" s="138">
        <v>18181</v>
      </c>
      <c r="G136" s="139">
        <v>2720231.71</v>
      </c>
      <c r="H136" s="138">
        <v>394414.72</v>
      </c>
      <c r="I136" s="138">
        <v>918581.99</v>
      </c>
      <c r="J136" s="138">
        <v>0</v>
      </c>
      <c r="K136" s="138">
        <v>0</v>
      </c>
      <c r="L136" s="138">
        <v>0</v>
      </c>
      <c r="M136" s="140">
        <v>918581.99</v>
      </c>
      <c r="N136" s="139">
        <v>1529983.71</v>
      </c>
      <c r="O136" s="141">
        <v>0</v>
      </c>
      <c r="P136" s="141">
        <v>5563212.129999995</v>
      </c>
      <c r="Q136" s="151">
        <v>571.01</v>
      </c>
      <c r="S136" s="151">
        <v>426173.21949065616</v>
      </c>
      <c r="T136" s="151">
        <v>453724.11693877494</v>
      </c>
    </row>
    <row r="137" spans="1:20" ht="13.5" thickBot="1">
      <c r="A137" s="136">
        <v>207</v>
      </c>
      <c r="B137" s="137">
        <v>3426748.55</v>
      </c>
      <c r="C137" s="138">
        <v>0</v>
      </c>
      <c r="D137" s="138">
        <v>0</v>
      </c>
      <c r="E137" s="138">
        <v>0</v>
      </c>
      <c r="F137" s="138">
        <v>0</v>
      </c>
      <c r="G137" s="139">
        <v>3426748.55</v>
      </c>
      <c r="H137" s="138">
        <v>489380.16</v>
      </c>
      <c r="I137" s="138">
        <v>316806.8</v>
      </c>
      <c r="J137" s="138">
        <v>0</v>
      </c>
      <c r="K137" s="138">
        <v>0</v>
      </c>
      <c r="L137" s="138">
        <v>0</v>
      </c>
      <c r="M137" s="140">
        <v>316806.8</v>
      </c>
      <c r="N137" s="139">
        <v>3331398.1</v>
      </c>
      <c r="O137" s="141">
        <v>10376.75</v>
      </c>
      <c r="P137" s="141">
        <v>7564333.610000002</v>
      </c>
      <c r="Q137" s="152">
        <v>796.78</v>
      </c>
      <c r="S137" s="152">
        <v>561527.6902907738</v>
      </c>
      <c r="T137" s="152">
        <v>636237.2015720415</v>
      </c>
    </row>
    <row r="138" spans="1:20" s="142" customFormat="1" ht="12.75">
      <c r="A138" s="143" t="s">
        <v>469</v>
      </c>
      <c r="B138" s="144">
        <v>3808092324.8900013</v>
      </c>
      <c r="C138" s="144">
        <v>17452490.18</v>
      </c>
      <c r="D138" s="144">
        <v>22592930.479999997</v>
      </c>
      <c r="E138" s="144">
        <v>71734491.99999997</v>
      </c>
      <c r="F138" s="144">
        <v>13828464.509999998</v>
      </c>
      <c r="G138" s="144">
        <v>3717388928.0800004</v>
      </c>
      <c r="H138" s="144">
        <v>1005038160.1999999</v>
      </c>
      <c r="I138" s="144">
        <v>794363955.9600002</v>
      </c>
      <c r="J138" s="144">
        <v>3761787.33</v>
      </c>
      <c r="K138" s="144">
        <v>3268333.43</v>
      </c>
      <c r="L138" s="144">
        <v>21042879.889999993</v>
      </c>
      <c r="M138" s="144">
        <v>773814529.9700001</v>
      </c>
      <c r="N138" s="144">
        <v>5350178843.189999</v>
      </c>
      <c r="O138" s="145">
        <v>125454122.66</v>
      </c>
      <c r="P138" s="145">
        <v>10846420461.439995</v>
      </c>
      <c r="Q138" s="154">
        <v>1178704.16</v>
      </c>
      <c r="R138" s="138"/>
      <c r="S138" s="154">
        <v>1133340000</v>
      </c>
      <c r="T138" s="154">
        <v>1266460000</v>
      </c>
    </row>
    <row r="139" spans="2:20" ht="12.75">
      <c r="B139" s="137"/>
      <c r="C139" s="139"/>
      <c r="D139" s="139"/>
      <c r="E139" s="139"/>
      <c r="F139" s="139"/>
      <c r="G139" s="139"/>
      <c r="H139" s="139"/>
      <c r="I139" s="139"/>
      <c r="J139" s="139"/>
      <c r="K139" s="139"/>
      <c r="L139" s="139"/>
      <c r="M139" s="139"/>
      <c r="N139" s="139"/>
      <c r="O139" s="139"/>
      <c r="Q139" s="153">
        <v>0</v>
      </c>
      <c r="S139" s="153">
        <v>0</v>
      </c>
      <c r="T139" s="153">
        <v>0</v>
      </c>
    </row>
    <row r="140" spans="2:20" ht="12.75">
      <c r="B140" s="147"/>
      <c r="Q140" s="79"/>
      <c r="S140" s="79"/>
      <c r="T140" s="79"/>
    </row>
    <row r="141" spans="17:20" ht="12.75">
      <c r="Q141" s="79"/>
      <c r="S141" s="79"/>
      <c r="T141" s="79"/>
    </row>
    <row r="142" spans="17:20" ht="12.75">
      <c r="Q142" s="79"/>
      <c r="S142" s="79"/>
      <c r="T142" s="79"/>
    </row>
    <row r="143" spans="17:20" ht="12.75">
      <c r="Q143" s="79"/>
      <c r="S143" s="79"/>
      <c r="T143" s="79"/>
    </row>
    <row r="168" ht="12.75">
      <c r="R168" s="142"/>
    </row>
    <row r="526" ht="12.75">
      <c r="B526" s="148"/>
    </row>
    <row r="527" ht="12.75">
      <c r="B527" s="148"/>
    </row>
    <row r="528" ht="12.75">
      <c r="B528" s="148"/>
    </row>
    <row r="529" ht="12.75">
      <c r="B529" s="148"/>
    </row>
    <row r="530" ht="12.75">
      <c r="B530" s="148"/>
    </row>
    <row r="531" ht="12.75">
      <c r="B531" s="148"/>
    </row>
    <row r="532" ht="12.75">
      <c r="B532" s="148"/>
    </row>
    <row r="533" ht="12.75">
      <c r="B533" s="148"/>
    </row>
    <row r="534" ht="12.75">
      <c r="B534" s="148"/>
    </row>
    <row r="535" ht="12.75">
      <c r="B535" s="148"/>
    </row>
    <row r="536" ht="12.75">
      <c r="B536" s="148"/>
    </row>
    <row r="537" ht="12.75">
      <c r="B537" s="148"/>
    </row>
    <row r="538" ht="12.75">
      <c r="B538" s="148"/>
    </row>
    <row r="539" ht="12.75">
      <c r="B539" s="148"/>
    </row>
    <row r="540" ht="12.75">
      <c r="B540" s="148"/>
    </row>
    <row r="541" ht="12.75">
      <c r="B541" s="148"/>
    </row>
    <row r="542" ht="12.75">
      <c r="B542" s="148"/>
    </row>
    <row r="543" ht="12.75">
      <c r="B543" s="148"/>
    </row>
    <row r="544" ht="12.75">
      <c r="B544" s="148"/>
    </row>
    <row r="545" ht="12.75">
      <c r="B545" s="148"/>
    </row>
    <row r="546" ht="12.75">
      <c r="B546" s="148"/>
    </row>
    <row r="547" ht="12.75">
      <c r="B547" s="148"/>
    </row>
    <row r="548" ht="12.75">
      <c r="B548" s="148"/>
    </row>
    <row r="549" ht="12.75">
      <c r="B549" s="148"/>
    </row>
    <row r="550" ht="12.75">
      <c r="B550" s="148"/>
    </row>
    <row r="551" ht="12.75">
      <c r="B551" s="148"/>
    </row>
    <row r="552" ht="12.75">
      <c r="B552" s="148"/>
    </row>
    <row r="553" ht="12.75">
      <c r="B553" s="148"/>
    </row>
    <row r="554" ht="12.75">
      <c r="B554" s="148"/>
    </row>
    <row r="555" ht="12.75">
      <c r="B555" s="148"/>
    </row>
    <row r="556" ht="12.75">
      <c r="B556" s="148"/>
    </row>
    <row r="557" ht="12.75">
      <c r="B557" s="148"/>
    </row>
    <row r="558" ht="12.75">
      <c r="B558" s="148"/>
    </row>
    <row r="559" ht="12.75">
      <c r="B559" s="148"/>
    </row>
    <row r="560" ht="12.75">
      <c r="B560" s="148"/>
    </row>
    <row r="561" ht="12.75">
      <c r="B561" s="148"/>
    </row>
    <row r="562" ht="12.75">
      <c r="B562" s="148"/>
    </row>
    <row r="563" ht="12.75">
      <c r="B563" s="148"/>
    </row>
    <row r="564" ht="12.75">
      <c r="B564" s="148"/>
    </row>
    <row r="565" ht="12.75">
      <c r="B565" s="148"/>
    </row>
    <row r="566" ht="12.75">
      <c r="B566" s="148"/>
    </row>
    <row r="567" ht="12.75">
      <c r="B567" s="148"/>
    </row>
    <row r="568" ht="12.75">
      <c r="B568" s="148"/>
    </row>
    <row r="569" ht="12.75">
      <c r="B569" s="148"/>
    </row>
    <row r="570" ht="12.75">
      <c r="B570" s="148"/>
    </row>
    <row r="571" ht="12.75">
      <c r="B571" s="148"/>
    </row>
    <row r="572" ht="12.75">
      <c r="B572" s="148"/>
    </row>
    <row r="573" ht="12.75">
      <c r="B573" s="148"/>
    </row>
    <row r="574" ht="12.75">
      <c r="B574" s="148"/>
    </row>
    <row r="575" ht="12.75">
      <c r="B575" s="148"/>
    </row>
    <row r="576" ht="12.75">
      <c r="B576" s="148"/>
    </row>
    <row r="577" ht="12.75">
      <c r="B577" s="148"/>
    </row>
    <row r="578" ht="12.75">
      <c r="B578" s="148"/>
    </row>
    <row r="579" ht="12.75">
      <c r="B579" s="148"/>
    </row>
    <row r="580" ht="12.75">
      <c r="B580" s="148"/>
    </row>
    <row r="581" ht="12.75">
      <c r="B581" s="148"/>
    </row>
    <row r="582" ht="12.75">
      <c r="B582" s="148"/>
    </row>
    <row r="583" ht="12.75">
      <c r="B583" s="148"/>
    </row>
    <row r="584" ht="12.75">
      <c r="B584" s="148"/>
    </row>
    <row r="585" ht="12.75">
      <c r="B585" s="148"/>
    </row>
    <row r="586" ht="12.75">
      <c r="B586" s="148"/>
    </row>
    <row r="587" ht="12.75">
      <c r="B587" s="148"/>
    </row>
    <row r="588" ht="12.75">
      <c r="B588" s="148"/>
    </row>
    <row r="589" ht="12.75">
      <c r="B589" s="148"/>
    </row>
    <row r="590" ht="12.75">
      <c r="B590" s="148"/>
    </row>
    <row r="591" ht="12.75">
      <c r="B591" s="148"/>
    </row>
    <row r="592" ht="12.75">
      <c r="B592" s="148"/>
    </row>
    <row r="593" ht="12.75">
      <c r="B593" s="148"/>
    </row>
    <row r="594" ht="12.75">
      <c r="B594" s="148"/>
    </row>
  </sheetData>
  <conditionalFormatting sqref="Q1:Q137 Q140:Q65536 A1:P65536 R1:R65536 U1:IV65536 S140:T65536 S1:T137">
    <cfRule type="cellIs" priority="1" dxfId="4" operator="lessThan" stopIfTrue="1">
      <formula>0</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K. Logwood</dc:creator>
  <cp:keywords/>
  <dc:description/>
  <cp:lastModifiedBy>Virginia Dept. of Education</cp:lastModifiedBy>
  <cp:lastPrinted>2006-03-16T14:00:01Z</cp:lastPrinted>
  <dcterms:created xsi:type="dcterms:W3CDTF">2002-03-29T22:05:40Z</dcterms:created>
  <dcterms:modified xsi:type="dcterms:W3CDTF">2006-03-16T14:01:39Z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