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Board Relations\2020 BOE\July\Draft Board Items\"/>
    </mc:Choice>
  </mc:AlternateContent>
  <workbookProtection workbookPassword="FCB2" lockStructure="1"/>
  <bookViews>
    <workbookView xWindow="0" yWindow="0" windowWidth="20490" windowHeight="9060"/>
  </bookViews>
  <sheets>
    <sheet name="Attachment A" sheetId="1" r:id="rId1"/>
    <sheet name="Source Data"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s>
  <definedNames>
    <definedName name="_xlnm._FilterDatabase" localSheetId="0" hidden="1">'Attachment A'!$I$7:$I$17</definedName>
    <definedName name="_xlnm.Print_Area" localSheetId="0">'Attachment A'!$A$1:$H$66</definedName>
    <definedName name="_xlnm.Print_Area" localSheetId="1">'Source Data'!$A$1:$DZ$55</definedName>
    <definedName name="_xlnm.Print_Titles" localSheetId="1">'Source Data'!$A:$B</definedName>
  </definedNames>
  <calcPr calcId="162913"/>
</workbook>
</file>

<file path=xl/calcChain.xml><?xml version="1.0" encoding="utf-8"?>
<calcChain xmlns="http://schemas.openxmlformats.org/spreadsheetml/2006/main">
  <c r="C44" i="1" l="1"/>
  <c r="C38" i="1"/>
  <c r="C28" i="1"/>
  <c r="C26" i="1"/>
  <c r="C18" i="1"/>
  <c r="C16" i="1"/>
  <c r="C12" i="1"/>
  <c r="C10" i="1"/>
  <c r="C8" i="1"/>
  <c r="C6" i="1"/>
  <c r="D44" i="1"/>
  <c r="D38" i="1"/>
  <c r="D28" i="1"/>
  <c r="D26" i="1"/>
  <c r="D18" i="1"/>
  <c r="D16" i="1"/>
  <c r="D12" i="1"/>
  <c r="D10" i="1"/>
  <c r="D8" i="1"/>
  <c r="D6" i="1"/>
  <c r="C45" i="3"/>
  <c r="C47" i="3"/>
  <c r="C49" i="3"/>
  <c r="C41" i="3"/>
  <c r="C31" i="3"/>
  <c r="C27" i="3"/>
  <c r="C25" i="3"/>
  <c r="C23" i="3"/>
  <c r="C21" i="3"/>
  <c r="C16" i="3"/>
  <c r="C14" i="3"/>
  <c r="C10" i="3"/>
  <c r="C8" i="3"/>
  <c r="D27" i="3" l="1"/>
  <c r="D21" i="3"/>
  <c r="D20" i="1" l="1"/>
  <c r="D31" i="3"/>
  <c r="E31" i="3"/>
  <c r="D40" i="1" l="1"/>
  <c r="D46" i="1" s="1"/>
  <c r="D25" i="3" l="1"/>
  <c r="D23" i="3"/>
  <c r="D41" i="3" s="1"/>
  <c r="D47" i="3" s="1"/>
  <c r="D14" i="3"/>
  <c r="D10" i="3"/>
  <c r="D8" i="3"/>
  <c r="D16" i="3" l="1"/>
  <c r="D45" i="3"/>
  <c r="D49" i="3" s="1"/>
  <c r="C20" i="1"/>
  <c r="E25" i="3" l="1"/>
  <c r="E14" i="3"/>
  <c r="E10" i="3"/>
  <c r="E8" i="3"/>
  <c r="D48" i="1" l="1"/>
  <c r="E45" i="3"/>
  <c r="E23" i="3"/>
  <c r="E41" i="3" s="1"/>
  <c r="E16" i="3"/>
  <c r="E47" i="3" l="1"/>
  <c r="E49" i="3" s="1"/>
  <c r="C40" i="1" l="1"/>
  <c r="F19" i="3"/>
  <c r="C46" i="1" l="1"/>
  <c r="C48" i="1" s="1"/>
  <c r="F25" i="3"/>
  <c r="F23" i="3"/>
  <c r="F14" i="3"/>
  <c r="F10" i="3"/>
  <c r="F8" i="3"/>
  <c r="F39" i="3" l="1"/>
  <c r="F45" i="3"/>
  <c r="F16" i="3"/>
  <c r="E40" i="1" l="1"/>
  <c r="F41" i="3"/>
  <c r="F47" i="3" s="1"/>
  <c r="F49" i="3" s="1"/>
  <c r="G31" i="3" l="1"/>
  <c r="G27" i="3"/>
  <c r="G25" i="3"/>
  <c r="G23" i="3"/>
  <c r="G21" i="3"/>
  <c r="G14" i="3"/>
  <c r="G10" i="3"/>
  <c r="G8" i="3"/>
  <c r="G16" i="3" l="1"/>
  <c r="G41" i="3"/>
  <c r="G45" i="3"/>
  <c r="H27" i="3"/>
  <c r="H21" i="3"/>
  <c r="G47" i="3" l="1"/>
  <c r="G49" i="3"/>
  <c r="H19" i="3"/>
  <c r="H31" i="3" l="1"/>
  <c r="H25" i="3"/>
  <c r="H23" i="3"/>
  <c r="H14" i="3"/>
  <c r="H10" i="3"/>
  <c r="H8" i="3"/>
  <c r="H16" i="3" l="1"/>
  <c r="H45" i="3"/>
  <c r="H41" i="3"/>
  <c r="H47" i="3" l="1"/>
  <c r="H49" i="3" s="1"/>
  <c r="I19" i="3"/>
  <c r="I31" i="3" l="1"/>
  <c r="I25" i="3" l="1"/>
  <c r="I23" i="3"/>
  <c r="I14" i="3"/>
  <c r="I10" i="3"/>
  <c r="I8" i="3"/>
  <c r="I45" i="3" l="1"/>
  <c r="I41" i="3"/>
  <c r="I16" i="3"/>
  <c r="J19" i="3"/>
  <c r="I47" i="3" l="1"/>
  <c r="I49" i="3" s="1"/>
  <c r="J25" i="3"/>
  <c r="J23" i="3"/>
  <c r="J14" i="3"/>
  <c r="J10" i="3"/>
  <c r="J8" i="3"/>
  <c r="J45" i="3" s="1"/>
  <c r="J39" i="3" l="1"/>
  <c r="J16" i="3"/>
  <c r="J41" i="3" l="1"/>
  <c r="J47" i="3" s="1"/>
  <c r="J49" i="3" s="1"/>
  <c r="K19" i="3" l="1"/>
  <c r="E38" i="1" l="1"/>
  <c r="E26" i="1"/>
  <c r="E18" i="1"/>
  <c r="E16" i="1"/>
  <c r="K31" i="3"/>
  <c r="E28" i="1" s="1"/>
  <c r="K27" i="3"/>
  <c r="K25" i="3"/>
  <c r="E22" i="1" s="1"/>
  <c r="K23" i="3"/>
  <c r="E20" i="1" s="1"/>
  <c r="K21" i="3"/>
  <c r="K14" i="3"/>
  <c r="E10" i="1" s="1"/>
  <c r="K10" i="3"/>
  <c r="E8" i="1" s="1"/>
  <c r="K8" i="3"/>
  <c r="K16" i="3" l="1"/>
  <c r="E12" i="1" s="1"/>
  <c r="K45" i="3"/>
  <c r="E6" i="1"/>
  <c r="E44" i="1"/>
  <c r="K41" i="3"/>
  <c r="K47" i="3" s="1"/>
  <c r="K49" i="3" s="1"/>
  <c r="E48" i="1" s="1"/>
  <c r="L27" i="3"/>
  <c r="L21" i="3"/>
  <c r="E46" i="1" l="1"/>
  <c r="L31" i="3"/>
  <c r="L25" i="3"/>
  <c r="L23" i="3"/>
  <c r="L19" i="3"/>
  <c r="L41" i="3" l="1"/>
  <c r="L47" i="3" s="1"/>
  <c r="L14" i="3"/>
  <c r="L10" i="3"/>
  <c r="L8" i="3"/>
  <c r="L16" i="3" l="1"/>
  <c r="L45" i="3"/>
  <c r="L49" i="3" s="1"/>
  <c r="M8" i="3"/>
  <c r="M45" i="3" l="1"/>
  <c r="N23" i="3"/>
  <c r="M19" i="3" l="1"/>
  <c r="M10" i="3"/>
  <c r="M31" i="3"/>
  <c r="M25" i="3" l="1"/>
  <c r="M23" i="3"/>
  <c r="M14" i="3"/>
  <c r="M41" i="3" l="1"/>
  <c r="M16" i="3"/>
  <c r="M47" i="3" l="1"/>
  <c r="M49" i="3" s="1"/>
  <c r="N19" i="3"/>
  <c r="M52" i="3" l="1"/>
  <c r="M53" i="3"/>
  <c r="N31" i="3"/>
  <c r="N14" i="3" l="1"/>
  <c r="N10" i="3"/>
  <c r="N8" i="3"/>
  <c r="N39" i="3" s="1"/>
  <c r="N45" i="3" l="1"/>
  <c r="N16" i="3"/>
  <c r="P23" i="3"/>
  <c r="N41" i="3" l="1"/>
  <c r="O19" i="3"/>
  <c r="N47" i="3" l="1"/>
  <c r="O21" i="3"/>
  <c r="O23" i="3"/>
  <c r="N49" i="3" l="1"/>
  <c r="M55" i="3"/>
  <c r="O41" i="3"/>
  <c r="O14" i="3"/>
  <c r="O10" i="3"/>
  <c r="O8" i="3"/>
  <c r="O47" i="3" l="1"/>
  <c r="O45" i="3"/>
  <c r="O16" i="3"/>
  <c r="O49" i="3" l="1"/>
  <c r="P21" i="3"/>
  <c r="P19" i="3"/>
  <c r="R19" i="3"/>
  <c r="P14" i="3"/>
  <c r="P10" i="3"/>
  <c r="P8" i="3"/>
  <c r="P16" i="3" l="1"/>
  <c r="P41" i="3"/>
  <c r="P45" i="3"/>
  <c r="EJ37" i="3"/>
  <c r="EI37" i="3"/>
  <c r="EH37" i="3"/>
  <c r="EG37" i="3"/>
  <c r="EF37" i="3"/>
  <c r="ED37" i="3" s="1"/>
  <c r="EC37" i="3" s="1"/>
  <c r="DZ37" i="3" s="1"/>
  <c r="EE37" i="3"/>
  <c r="DW37" i="3"/>
  <c r="DV37" i="3"/>
  <c r="DU37" i="3"/>
  <c r="DR37" i="3"/>
  <c r="DQ37" i="3" s="1"/>
  <c r="DN37" i="3" s="1"/>
  <c r="DK37" i="3"/>
  <c r="DJ37" i="3" s="1"/>
  <c r="CY37" i="3"/>
  <c r="CX37" i="3"/>
  <c r="CW37" i="3"/>
  <c r="CV37" i="3"/>
  <c r="CU37" i="3"/>
  <c r="CT37" i="3"/>
  <c r="CS37" i="3"/>
  <c r="CR37" i="3"/>
  <c r="CQ37" i="3"/>
  <c r="CP37" i="3"/>
  <c r="CO37" i="3"/>
  <c r="CN37" i="3"/>
  <c r="CM37" i="3"/>
  <c r="CL37" i="3" s="1"/>
  <c r="CA37" i="3"/>
  <c r="BZ37" i="3" s="1"/>
  <c r="BU37" i="3" s="1"/>
  <c r="BS37" i="3"/>
  <c r="BQ37" i="3"/>
  <c r="AI35" i="3"/>
  <c r="AH35" i="3"/>
  <c r="AG35" i="3"/>
  <c r="ET33" i="3"/>
  <c r="ES33" i="3"/>
  <c r="ER33" i="3"/>
  <c r="EQ33" i="3"/>
  <c r="EP33" i="3"/>
  <c r="EO33" i="3"/>
  <c r="EN33" i="3"/>
  <c r="EM33" i="3"/>
  <c r="EL33" i="3"/>
  <c r="EK33" i="3"/>
  <c r="EJ33" i="3"/>
  <c r="EI33" i="3"/>
  <c r="EH33" i="3"/>
  <c r="EG33" i="3"/>
  <c r="EF33" i="3"/>
  <c r="EE33" i="3"/>
  <c r="ED33" i="3"/>
  <c r="EC33" i="3"/>
  <c r="EB33" i="3"/>
  <c r="EA33" i="3"/>
  <c r="DZ33" i="3"/>
  <c r="DY33" i="3"/>
  <c r="DX33" i="3"/>
  <c r="DW33" i="3"/>
  <c r="DV33" i="3"/>
  <c r="DU33" i="3"/>
  <c r="DT33" i="3"/>
  <c r="DS33" i="3"/>
  <c r="DR33" i="3"/>
  <c r="DQ33" i="3"/>
  <c r="DP33" i="3"/>
  <c r="DO33" i="3"/>
  <c r="DN33" i="3"/>
  <c r="DM33" i="3"/>
  <c r="DL33" i="3"/>
  <c r="DK33" i="3"/>
  <c r="DJ33" i="3"/>
  <c r="DI33" i="3"/>
  <c r="DH33" i="3"/>
  <c r="DG33" i="3"/>
  <c r="DF33" i="3"/>
  <c r="DE33" i="3"/>
  <c r="DD33" i="3"/>
  <c r="DC33" i="3"/>
  <c r="DB33" i="3"/>
  <c r="ET31" i="3"/>
  <c r="ES31" i="3"/>
  <c r="ER31" i="3"/>
  <c r="EQ31" i="3"/>
  <c r="EP31" i="3"/>
  <c r="EO31" i="3"/>
  <c r="EN31" i="3"/>
  <c r="EM31" i="3"/>
  <c r="EL31" i="3"/>
  <c r="EK31" i="3"/>
  <c r="DR31" i="3"/>
  <c r="DQ31" i="3"/>
  <c r="DP31" i="3"/>
  <c r="DO31" i="3"/>
  <c r="DN31" i="3"/>
  <c r="DJ31" i="3"/>
  <c r="DI31" i="3"/>
  <c r="DH31" i="3"/>
  <c r="DG31" i="3"/>
  <c r="DE31" i="3"/>
  <c r="DB31" i="3" s="1"/>
  <c r="DA31" i="3" s="1"/>
  <c r="DD31" i="3"/>
  <c r="DC31" i="3"/>
  <c r="CU31" i="3"/>
  <c r="CT31" i="3"/>
  <c r="CR31" i="3" s="1"/>
  <c r="CP31" i="3" s="1"/>
  <c r="CS31" i="3"/>
  <c r="CQ31" i="3" s="1"/>
  <c r="CO31" i="3" s="1"/>
  <c r="CN31" i="3" s="1"/>
  <c r="CL31" i="3"/>
  <c r="CK31" i="3"/>
  <c r="CJ31" i="3"/>
  <c r="CI31" i="3"/>
  <c r="CG31" i="3"/>
  <c r="CF31" i="3"/>
  <c r="CE31" i="3"/>
  <c r="CD31" i="3"/>
  <c r="CC31" i="3"/>
  <c r="CB31" i="3" s="1"/>
  <c r="BZ31" i="3"/>
  <c r="BY31" i="3"/>
  <c r="BX31" i="3"/>
  <c r="BW31" i="3"/>
  <c r="BV31" i="3"/>
  <c r="BU31" i="3"/>
  <c r="BT31" i="3"/>
  <c r="BS31" i="3"/>
  <c r="BR31" i="3"/>
  <c r="BQ31" i="3"/>
  <c r="BP31" i="3" s="1"/>
  <c r="BN31" i="3"/>
  <c r="BM31" i="3"/>
  <c r="BL31" i="3"/>
  <c r="BK31" i="3"/>
  <c r="BJ31" i="3"/>
  <c r="BH31" i="3"/>
  <c r="BF31" i="3" s="1"/>
  <c r="BG31" i="3"/>
  <c r="BE31" i="3" s="1"/>
  <c r="BD31" i="3" s="1"/>
  <c r="BB31" i="3"/>
  <c r="AW31" i="3" s="1"/>
  <c r="BA31" i="3"/>
  <c r="AV31" i="3" s="1"/>
  <c r="AZ31" i="3"/>
  <c r="AY31" i="3"/>
  <c r="AX31" i="3"/>
  <c r="AT31" i="3"/>
  <c r="AS31" i="3"/>
  <c r="AR31" i="3" s="1"/>
  <c r="AN31" i="3"/>
  <c r="AM31" i="3"/>
  <c r="AL31" i="3"/>
  <c r="AK31" i="3"/>
  <c r="AJ31" i="3"/>
  <c r="AI31" i="3"/>
  <c r="AH31" i="3"/>
  <c r="AG31" i="3"/>
  <c r="AF31" i="3" s="1"/>
  <c r="T31" i="3"/>
  <c r="ET29" i="3"/>
  <c r="ES29" i="3"/>
  <c r="ER29" i="3"/>
  <c r="EQ29" i="3"/>
  <c r="EP29" i="3"/>
  <c r="EO29" i="3"/>
  <c r="EN29" i="3"/>
  <c r="EM29" i="3"/>
  <c r="EL29" i="3"/>
  <c r="EK29" i="3"/>
  <c r="EJ29" i="3"/>
  <c r="EI29" i="3"/>
  <c r="EH29" i="3"/>
  <c r="EG29" i="3"/>
  <c r="EF29" i="3"/>
  <c r="EE29" i="3"/>
  <c r="ED29" i="3"/>
  <c r="EC29" i="3"/>
  <c r="EB29" i="3"/>
  <c r="EA29" i="3"/>
  <c r="DZ29" i="3"/>
  <c r="DY29" i="3"/>
  <c r="DX29" i="3"/>
  <c r="DW29" i="3"/>
  <c r="DV29" i="3"/>
  <c r="DU29" i="3"/>
  <c r="DT29" i="3"/>
  <c r="DS29" i="3"/>
  <c r="DR29" i="3"/>
  <c r="DQ29" i="3"/>
  <c r="DP29" i="3"/>
  <c r="DO29" i="3"/>
  <c r="DN29" i="3"/>
  <c r="DM29" i="3"/>
  <c r="DL29" i="3"/>
  <c r="DK29" i="3"/>
  <c r="DJ29" i="3"/>
  <c r="DI29" i="3"/>
  <c r="DH29" i="3"/>
  <c r="DG29" i="3"/>
  <c r="DF29" i="3"/>
  <c r="DE29" i="3"/>
  <c r="DD29" i="3"/>
  <c r="DC29" i="3"/>
  <c r="DB29" i="3"/>
  <c r="DA29" i="3"/>
  <c r="CZ29" i="3"/>
  <c r="CY29" i="3"/>
  <c r="CX29" i="3"/>
  <c r="CW29" i="3"/>
  <c r="CV29" i="3"/>
  <c r="CU29" i="3"/>
  <c r="CT29" i="3"/>
  <c r="CS29" i="3"/>
  <c r="CR29" i="3"/>
  <c r="CQ29" i="3"/>
  <c r="CP29" i="3"/>
  <c r="CO29" i="3"/>
  <c r="BB27" i="3"/>
  <c r="AW27" i="3" s="1"/>
  <c r="BA27" i="3"/>
  <c r="AZ27" i="3"/>
  <c r="AY27" i="3"/>
  <c r="AX27" i="3"/>
  <c r="AV27" i="3"/>
  <c r="AK27" i="3"/>
  <c r="AJ27" i="3" s="1"/>
  <c r="AI27" i="3"/>
  <c r="AH27" i="3"/>
  <c r="AG27" i="3" s="1"/>
  <c r="AE27" i="3"/>
  <c r="AD27" i="3"/>
  <c r="AC27" i="3"/>
  <c r="AB27" i="3"/>
  <c r="AA27" i="3"/>
  <c r="Z27" i="3"/>
  <c r="Y27" i="3"/>
  <c r="V27" i="3"/>
  <c r="U27" i="3"/>
  <c r="T27" i="3" s="1"/>
  <c r="ET25" i="3"/>
  <c r="ES25" i="3" s="1"/>
  <c r="ER25" i="3"/>
  <c r="EP25" i="3"/>
  <c r="EO25" i="3" s="1"/>
  <c r="EH25" i="3"/>
  <c r="EG25" i="3"/>
  <c r="EF25" i="3"/>
  <c r="DS25" i="3"/>
  <c r="DR25" i="3" s="1"/>
  <c r="DG25" i="3"/>
  <c r="AB25" i="3"/>
  <c r="U25" i="3"/>
  <c r="S25" i="3"/>
  <c r="R25" i="3"/>
  <c r="Q25" i="3"/>
  <c r="AA23" i="3"/>
  <c r="X23" i="3"/>
  <c r="V23" i="3"/>
  <c r="U23" i="3"/>
  <c r="T23" i="3"/>
  <c r="S23" i="3"/>
  <c r="R23" i="3"/>
  <c r="Q23" i="3"/>
  <c r="EU21" i="3"/>
  <c r="EW25" i="3" s="1"/>
  <c r="ET21" i="3"/>
  <c r="EQ21" i="3"/>
  <c r="EM21" i="3"/>
  <c r="EL21" i="3"/>
  <c r="EI21" i="3"/>
  <c r="EH21" i="3" s="1"/>
  <c r="DT21" i="3"/>
  <c r="DT37" i="3" s="1"/>
  <c r="DN21" i="3"/>
  <c r="DI21" i="3"/>
  <c r="DH21" i="3"/>
  <c r="CY21" i="3"/>
  <c r="CX21" i="3"/>
  <c r="CW21" i="3"/>
  <c r="CV21" i="3" s="1"/>
  <c r="CM21" i="3"/>
  <c r="CL21" i="3" s="1"/>
  <c r="CA21" i="3"/>
  <c r="BZ21" i="3"/>
  <c r="BY21" i="3"/>
  <c r="BX21" i="3" s="1"/>
  <c r="BW21" i="3" s="1"/>
  <c r="BS21" i="3"/>
  <c r="BR21" i="3" s="1"/>
  <c r="BO21" i="3"/>
  <c r="BM21" i="3" s="1"/>
  <c r="BL21" i="3" s="1"/>
  <c r="BK21" i="3" s="1"/>
  <c r="BN21" i="3"/>
  <c r="BC21" i="3"/>
  <c r="BA21" i="3" s="1"/>
  <c r="AV21" i="3" s="1"/>
  <c r="AU21" i="3" s="1"/>
  <c r="AT21" i="3" s="1"/>
  <c r="BB21" i="3"/>
  <c r="AW21" i="3" s="1"/>
  <c r="AQ21" i="3"/>
  <c r="AP21" i="3"/>
  <c r="AO21" i="3"/>
  <c r="AN21" i="3"/>
  <c r="AM21" i="3"/>
  <c r="AL21" i="3"/>
  <c r="AK21" i="3"/>
  <c r="AJ21" i="3" s="1"/>
  <c r="AE21" i="3"/>
  <c r="AD21" i="3"/>
  <c r="AC21" i="3"/>
  <c r="AB21" i="3"/>
  <c r="AA21" i="3"/>
  <c r="Z21" i="3"/>
  <c r="Y21" i="3"/>
  <c r="X21" i="3"/>
  <c r="W21" i="3"/>
  <c r="V21" i="3" s="1"/>
  <c r="U21" i="3" s="1"/>
  <c r="S21" i="3"/>
  <c r="R21" i="3"/>
  <c r="Q21" i="3"/>
  <c r="EU19" i="3"/>
  <c r="EU41" i="3" s="1"/>
  <c r="EU47" i="3" s="1"/>
  <c r="ET19" i="3"/>
  <c r="ES19" i="3"/>
  <c r="ER19" i="3"/>
  <c r="EQ19" i="3"/>
  <c r="EP19" i="3"/>
  <c r="EO19" i="3"/>
  <c r="EN19" i="3"/>
  <c r="EM19" i="3"/>
  <c r="EL19" i="3"/>
  <c r="EK19" i="3"/>
  <c r="EJ19" i="3"/>
  <c r="EI19" i="3"/>
  <c r="EH19" i="3"/>
  <c r="EG19" i="3"/>
  <c r="EF19" i="3"/>
  <c r="ED19" i="3"/>
  <c r="EA19" i="3"/>
  <c r="DX19" i="3"/>
  <c r="DX41" i="3" s="1"/>
  <c r="DX47" i="3" s="1"/>
  <c r="DW19" i="3"/>
  <c r="DV19" i="3"/>
  <c r="DU19" i="3"/>
  <c r="DT19" i="3"/>
  <c r="DT41" i="3" s="1"/>
  <c r="DT47" i="3" s="1"/>
  <c r="DS19" i="3"/>
  <c r="DR19" i="3"/>
  <c r="DQ19" i="3"/>
  <c r="DP19" i="3"/>
  <c r="DO19" i="3"/>
  <c r="DN19" i="3"/>
  <c r="DM19" i="3"/>
  <c r="DL19" i="3"/>
  <c r="CV19" i="3"/>
  <c r="CU19" i="3"/>
  <c r="CT19" i="3"/>
  <c r="CS19" i="3"/>
  <c r="CR19" i="3"/>
  <c r="CQ19" i="3"/>
  <c r="CP19" i="3"/>
  <c r="CO19" i="3"/>
  <c r="CN19" i="3"/>
  <c r="CM19" i="3"/>
  <c r="CL19" i="3"/>
  <c r="CK19" i="3"/>
  <c r="CJ19" i="3"/>
  <c r="CI19" i="3"/>
  <c r="CH19" i="3"/>
  <c r="CG19" i="3"/>
  <c r="CF19" i="3"/>
  <c r="CE19" i="3"/>
  <c r="CD19" i="3"/>
  <c r="CC19" i="3"/>
  <c r="CB19" i="3"/>
  <c r="CA19" i="3"/>
  <c r="BZ19" i="3"/>
  <c r="BY19" i="3"/>
  <c r="BX19" i="3"/>
  <c r="BW19" i="3"/>
  <c r="BV19" i="3"/>
  <c r="BU19" i="3"/>
  <c r="BT19" i="3"/>
  <c r="BS19" i="3"/>
  <c r="BR19" i="3"/>
  <c r="BQ19" i="3"/>
  <c r="BP19" i="3"/>
  <c r="BO19" i="3"/>
  <c r="BO41" i="3" s="1"/>
  <c r="BO47" i="3" s="1"/>
  <c r="BN19" i="3"/>
  <c r="BM19" i="3"/>
  <c r="BL19" i="3"/>
  <c r="BK19" i="3"/>
  <c r="BJ19" i="3"/>
  <c r="BI19" i="3"/>
  <c r="BH19" i="3"/>
  <c r="BG19" i="3"/>
  <c r="BF19" i="3"/>
  <c r="BE19" i="3"/>
  <c r="BD19" i="3"/>
  <c r="BC19" i="3"/>
  <c r="BC41" i="3" s="1"/>
  <c r="BC47" i="3" s="1"/>
  <c r="BB19" i="3"/>
  <c r="BA19" i="3"/>
  <c r="AZ19" i="3"/>
  <c r="AY19" i="3"/>
  <c r="AX19" i="3"/>
  <c r="AW19" i="3"/>
  <c r="AW41" i="3" s="1"/>
  <c r="AW47" i="3" s="1"/>
  <c r="AV19" i="3"/>
  <c r="AU19" i="3"/>
  <c r="AT19" i="3"/>
  <c r="AS19" i="3"/>
  <c r="AS41" i="3" s="1"/>
  <c r="AS47" i="3" s="1"/>
  <c r="AR19" i="3"/>
  <c r="AQ19" i="3"/>
  <c r="AQ41" i="3" s="1"/>
  <c r="AQ47" i="3" s="1"/>
  <c r="AP19" i="3"/>
  <c r="AO19" i="3"/>
  <c r="AO41" i="3" s="1"/>
  <c r="AO47" i="3" s="1"/>
  <c r="AN19" i="3"/>
  <c r="AN41" i="3" s="1"/>
  <c r="AN47" i="3" s="1"/>
  <c r="AM19" i="3"/>
  <c r="AL19" i="3"/>
  <c r="AK19" i="3"/>
  <c r="AJ19" i="3"/>
  <c r="AI19" i="3"/>
  <c r="AH19" i="3"/>
  <c r="AG19" i="3"/>
  <c r="AF19" i="3"/>
  <c r="AE19" i="3"/>
  <c r="AE41" i="3" s="1"/>
  <c r="AE47" i="3" s="1"/>
  <c r="AD19" i="3"/>
  <c r="AC19" i="3"/>
  <c r="AC41" i="3" s="1"/>
  <c r="AC47" i="3" s="1"/>
  <c r="AB19" i="3"/>
  <c r="AB41" i="3" s="1"/>
  <c r="AB47" i="3" s="1"/>
  <c r="AA19" i="3"/>
  <c r="AA41" i="3" s="1"/>
  <c r="AA47" i="3" s="1"/>
  <c r="Z19" i="3"/>
  <c r="Y19" i="3"/>
  <c r="Y41" i="3" s="1"/>
  <c r="Y47" i="3" s="1"/>
  <c r="X19" i="3"/>
  <c r="W19" i="3"/>
  <c r="W41" i="3" s="1"/>
  <c r="W47" i="3" s="1"/>
  <c r="V19" i="3"/>
  <c r="U19" i="3"/>
  <c r="T19" i="3"/>
  <c r="S19" i="3"/>
  <c r="S41" i="3" s="1"/>
  <c r="S47" i="3" s="1"/>
  <c r="Q19" i="3"/>
  <c r="EU14" i="3"/>
  <c r="ET14" i="3"/>
  <c r="ES14" i="3"/>
  <c r="ER14" i="3"/>
  <c r="EQ14" i="3"/>
  <c r="EP14" i="3"/>
  <c r="EO14" i="3"/>
  <c r="EN14" i="3"/>
  <c r="EM14" i="3"/>
  <c r="EL14" i="3"/>
  <c r="EK14" i="3"/>
  <c r="EJ14" i="3"/>
  <c r="EI14" i="3"/>
  <c r="EH14" i="3"/>
  <c r="EG14" i="3"/>
  <c r="EF14" i="3"/>
  <c r="EE14" i="3"/>
  <c r="ED14" i="3"/>
  <c r="EC14" i="3"/>
  <c r="EB14" i="3"/>
  <c r="EA14" i="3"/>
  <c r="DZ14" i="3"/>
  <c r="DY14" i="3"/>
  <c r="DX14" i="3"/>
  <c r="DW14" i="3"/>
  <c r="DV14" i="3"/>
  <c r="DU14" i="3"/>
  <c r="DT14" i="3"/>
  <c r="DS14" i="3"/>
  <c r="DR14" i="3"/>
  <c r="DQ14" i="3"/>
  <c r="DP14" i="3"/>
  <c r="DO14" i="3"/>
  <c r="DN14" i="3"/>
  <c r="DM14" i="3"/>
  <c r="DL14" i="3"/>
  <c r="DK14" i="3"/>
  <c r="DJ14" i="3"/>
  <c r="DI14" i="3"/>
  <c r="DH14" i="3"/>
  <c r="DG14" i="3"/>
  <c r="DF14" i="3"/>
  <c r="DE14" i="3"/>
  <c r="DD14" i="3"/>
  <c r="DC14" i="3"/>
  <c r="DB14" i="3"/>
  <c r="DA14" i="3"/>
  <c r="CZ14" i="3"/>
  <c r="CY14" i="3"/>
  <c r="CX14" i="3"/>
  <c r="CW14" i="3"/>
  <c r="CV14" i="3"/>
  <c r="CU14" i="3"/>
  <c r="CT14" i="3"/>
  <c r="CS14" i="3"/>
  <c r="CR14" i="3"/>
  <c r="CQ14" i="3"/>
  <c r="CP14" i="3"/>
  <c r="CO14" i="3"/>
  <c r="CN14" i="3"/>
  <c r="CM14" i="3"/>
  <c r="CL14" i="3"/>
  <c r="CK14" i="3"/>
  <c r="CJ14" i="3"/>
  <c r="CI14" i="3"/>
  <c r="CH14" i="3"/>
  <c r="CG14" i="3"/>
  <c r="CF14" i="3"/>
  <c r="CE14" i="3"/>
  <c r="CD14" i="3"/>
  <c r="CC14" i="3"/>
  <c r="CB14" i="3"/>
  <c r="CA14" i="3"/>
  <c r="BZ14" i="3"/>
  <c r="BY14" i="3"/>
  <c r="BX14" i="3"/>
  <c r="BW14"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EU10" i="3"/>
  <c r="ET10" i="3"/>
  <c r="ES10" i="3"/>
  <c r="ER10" i="3"/>
  <c r="EQ10" i="3"/>
  <c r="EP10" i="3"/>
  <c r="EO10" i="3"/>
  <c r="EN10" i="3"/>
  <c r="EM10" i="3"/>
  <c r="EL10" i="3"/>
  <c r="EK10" i="3"/>
  <c r="EJ10" i="3"/>
  <c r="EI10" i="3"/>
  <c r="EH10" i="3"/>
  <c r="EG10" i="3"/>
  <c r="EC10" i="3"/>
  <c r="EB10" i="3"/>
  <c r="EA10" i="3"/>
  <c r="DZ10" i="3"/>
  <c r="DY10" i="3"/>
  <c r="DX10" i="3"/>
  <c r="DW10" i="3"/>
  <c r="DV10" i="3"/>
  <c r="DU10" i="3"/>
  <c r="DT10" i="3"/>
  <c r="DS10" i="3"/>
  <c r="DR10" i="3"/>
  <c r="DQ10" i="3"/>
  <c r="DP10" i="3"/>
  <c r="DO10" i="3"/>
  <c r="DN10" i="3"/>
  <c r="DM10" i="3"/>
  <c r="DL10" i="3"/>
  <c r="DK10" i="3"/>
  <c r="DJ10" i="3"/>
  <c r="DI10" i="3"/>
  <c r="DH10" i="3"/>
  <c r="DG10" i="3"/>
  <c r="DF10" i="3"/>
  <c r="DE10" i="3"/>
  <c r="DD10" i="3"/>
  <c r="DC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EU8" i="3"/>
  <c r="ET8" i="3"/>
  <c r="ES8" i="3"/>
  <c r="ER8" i="3"/>
  <c r="EQ8" i="3"/>
  <c r="EP8" i="3"/>
  <c r="EO8" i="3"/>
  <c r="EN8" i="3"/>
  <c r="EM8" i="3"/>
  <c r="EL8" i="3"/>
  <c r="EK8" i="3"/>
  <c r="EJ8" i="3"/>
  <c r="EI8" i="3"/>
  <c r="EH8" i="3"/>
  <c r="EG8" i="3"/>
  <c r="EF8" i="3"/>
  <c r="EE8" i="3"/>
  <c r="ED8" i="3"/>
  <c r="EC8" i="3"/>
  <c r="EB8" i="3"/>
  <c r="EA8" i="3"/>
  <c r="DZ8" i="3"/>
  <c r="DY8" i="3"/>
  <c r="DX8" i="3"/>
  <c r="DW8" i="3"/>
  <c r="DV8" i="3"/>
  <c r="DU8" i="3"/>
  <c r="DT8" i="3"/>
  <c r="DS8" i="3"/>
  <c r="DR8" i="3"/>
  <c r="DQ8" i="3"/>
  <c r="DP8" i="3"/>
  <c r="DO8" i="3"/>
  <c r="DN8" i="3"/>
  <c r="DM8" i="3"/>
  <c r="DL8" i="3"/>
  <c r="DK8" i="3"/>
  <c r="DJ8" i="3"/>
  <c r="DI8" i="3"/>
  <c r="DH8" i="3"/>
  <c r="DG8" i="3"/>
  <c r="DF8" i="3"/>
  <c r="DE8" i="3"/>
  <c r="DD8" i="3"/>
  <c r="DC8" i="3"/>
  <c r="DB8" i="3"/>
  <c r="DA8" i="3"/>
  <c r="CZ8" i="3"/>
  <c r="CZ45" i="3" s="1"/>
  <c r="CY8" i="3"/>
  <c r="CX8" i="3"/>
  <c r="CX45" i="3" s="1"/>
  <c r="CW8" i="3"/>
  <c r="CV8" i="3"/>
  <c r="CV45" i="3" s="1"/>
  <c r="CU8" i="3"/>
  <c r="CT8" i="3"/>
  <c r="CT45" i="3" s="1"/>
  <c r="CS8" i="3"/>
  <c r="CR8" i="3"/>
  <c r="CR45" i="3" s="1"/>
  <c r="CQ8" i="3"/>
  <c r="CP8" i="3"/>
  <c r="CP45" i="3" s="1"/>
  <c r="CO8" i="3"/>
  <c r="CN8" i="3"/>
  <c r="CN45" i="3" s="1"/>
  <c r="CM8" i="3"/>
  <c r="CL8" i="3"/>
  <c r="CL45" i="3" s="1"/>
  <c r="CK8" i="3"/>
  <c r="CJ8" i="3"/>
  <c r="CJ45" i="3" s="1"/>
  <c r="CI8" i="3"/>
  <c r="CH8" i="3"/>
  <c r="CH45" i="3" s="1"/>
  <c r="CG8" i="3"/>
  <c r="CF8" i="3"/>
  <c r="CF45" i="3" s="1"/>
  <c r="CE8" i="3"/>
  <c r="CD8" i="3"/>
  <c r="CD45" i="3" s="1"/>
  <c r="CC8" i="3"/>
  <c r="CB8" i="3"/>
  <c r="CB45" i="3" s="1"/>
  <c r="CA8" i="3"/>
  <c r="BZ8" i="3"/>
  <c r="BZ45" i="3" s="1"/>
  <c r="BY8" i="3"/>
  <c r="BX8" i="3"/>
  <c r="BX45" i="3" s="1"/>
  <c r="BW8" i="3"/>
  <c r="BV8" i="3"/>
  <c r="BV45" i="3" s="1"/>
  <c r="BU8" i="3"/>
  <c r="BU45" i="3" s="1"/>
  <c r="BT8" i="3"/>
  <c r="BT45" i="3" s="1"/>
  <c r="BS8" i="3"/>
  <c r="BS45" i="3" s="1"/>
  <c r="BR8" i="3"/>
  <c r="BR45" i="3" s="1"/>
  <c r="BQ8" i="3"/>
  <c r="BQ45" i="3" s="1"/>
  <c r="BP8" i="3"/>
  <c r="BP45" i="3" s="1"/>
  <c r="BO8" i="3"/>
  <c r="BO45" i="3" s="1"/>
  <c r="BN8" i="3"/>
  <c r="BN45" i="3" s="1"/>
  <c r="BM8" i="3"/>
  <c r="BM45" i="3" s="1"/>
  <c r="BL8" i="3"/>
  <c r="BL45" i="3" s="1"/>
  <c r="BK8" i="3"/>
  <c r="BK45" i="3" s="1"/>
  <c r="BJ8" i="3"/>
  <c r="BJ45" i="3" s="1"/>
  <c r="BI8" i="3"/>
  <c r="BI45" i="3" s="1"/>
  <c r="BH8" i="3"/>
  <c r="BH45" i="3" s="1"/>
  <c r="BG8" i="3"/>
  <c r="BG45" i="3" s="1"/>
  <c r="BF8" i="3"/>
  <c r="BF45" i="3" s="1"/>
  <c r="BE8" i="3"/>
  <c r="BE45" i="3" s="1"/>
  <c r="BD8" i="3"/>
  <c r="BD45" i="3" s="1"/>
  <c r="BC8" i="3"/>
  <c r="BC45" i="3" s="1"/>
  <c r="BB8" i="3"/>
  <c r="BB45" i="3" s="1"/>
  <c r="BA8" i="3"/>
  <c r="BA45" i="3" s="1"/>
  <c r="AZ8" i="3"/>
  <c r="AZ45" i="3" s="1"/>
  <c r="AY8" i="3"/>
  <c r="AY45" i="3" s="1"/>
  <c r="AX8" i="3"/>
  <c r="AX45" i="3" s="1"/>
  <c r="AW8" i="3"/>
  <c r="AW45" i="3" s="1"/>
  <c r="AV8" i="3"/>
  <c r="AV45" i="3" s="1"/>
  <c r="AU8" i="3"/>
  <c r="AU45" i="3" s="1"/>
  <c r="AT8" i="3"/>
  <c r="AT45" i="3" s="1"/>
  <c r="AS8" i="3"/>
  <c r="AS45" i="3" s="1"/>
  <c r="AR8" i="3"/>
  <c r="AR45" i="3" s="1"/>
  <c r="AQ8" i="3"/>
  <c r="AQ45" i="3" s="1"/>
  <c r="AP8" i="3"/>
  <c r="AP45" i="3" s="1"/>
  <c r="AO8" i="3"/>
  <c r="AO45" i="3" s="1"/>
  <c r="AN8" i="3"/>
  <c r="AN45" i="3" s="1"/>
  <c r="AN49" i="3" s="1"/>
  <c r="AM8" i="3"/>
  <c r="AM45" i="3" s="1"/>
  <c r="AL8" i="3"/>
  <c r="AL45" i="3" s="1"/>
  <c r="AK8" i="3"/>
  <c r="AK45" i="3" s="1"/>
  <c r="AJ8" i="3"/>
  <c r="AJ45" i="3" s="1"/>
  <c r="AI8" i="3"/>
  <c r="AI45" i="3" s="1"/>
  <c r="AH8" i="3"/>
  <c r="AH45" i="3" s="1"/>
  <c r="AG8" i="3"/>
  <c r="AG45" i="3" s="1"/>
  <c r="AF8" i="3"/>
  <c r="AF45" i="3" s="1"/>
  <c r="AE8" i="3"/>
  <c r="AE45" i="3" s="1"/>
  <c r="AD8" i="3"/>
  <c r="AD45" i="3" s="1"/>
  <c r="AC8" i="3"/>
  <c r="AC45" i="3" s="1"/>
  <c r="AB8" i="3"/>
  <c r="AB45" i="3" s="1"/>
  <c r="AB49" i="3" s="1"/>
  <c r="AA8" i="3"/>
  <c r="AA45" i="3" s="1"/>
  <c r="Z8" i="3"/>
  <c r="Z45" i="3" s="1"/>
  <c r="Y8" i="3"/>
  <c r="Y45" i="3" s="1"/>
  <c r="X8" i="3"/>
  <c r="X45" i="3" s="1"/>
  <c r="W8" i="3"/>
  <c r="W45" i="3" s="1"/>
  <c r="V8" i="3"/>
  <c r="V45" i="3" s="1"/>
  <c r="U8" i="3"/>
  <c r="U45" i="3" s="1"/>
  <c r="T8" i="3"/>
  <c r="S8" i="3"/>
  <c r="S45" i="3" s="1"/>
  <c r="R8" i="3"/>
  <c r="R45" i="3" s="1"/>
  <c r="Q8" i="3"/>
  <c r="Q45" i="3" s="1"/>
  <c r="E34" i="1"/>
  <c r="E31" i="1"/>
  <c r="E25" i="1"/>
  <c r="E24" i="1"/>
  <c r="U41" i="3" l="1"/>
  <c r="U47" i="3" s="1"/>
  <c r="X41" i="3"/>
  <c r="X47" i="3" s="1"/>
  <c r="X49" i="3" s="1"/>
  <c r="AK41" i="3"/>
  <c r="AK47" i="3" s="1"/>
  <c r="AK49" i="3" s="1"/>
  <c r="BN49" i="3"/>
  <c r="Z41" i="3"/>
  <c r="Z47" i="3" s="1"/>
  <c r="Z49" i="3" s="1"/>
  <c r="AD41" i="3"/>
  <c r="AD47" i="3" s="1"/>
  <c r="AD49" i="3" s="1"/>
  <c r="AL41" i="3"/>
  <c r="AL47" i="3" s="1"/>
  <c r="AP41" i="3"/>
  <c r="AP47" i="3" s="1"/>
  <c r="AP49" i="3" s="1"/>
  <c r="BB41" i="3"/>
  <c r="BB47" i="3" s="1"/>
  <c r="BB49" i="3" s="1"/>
  <c r="BN41" i="3"/>
  <c r="BN47" i="3" s="1"/>
  <c r="DU41" i="3"/>
  <c r="DU47" i="3" s="1"/>
  <c r="AL49" i="3"/>
  <c r="AM41" i="3"/>
  <c r="AM47" i="3" s="1"/>
  <c r="BS41" i="3"/>
  <c r="BS47" i="3" s="1"/>
  <c r="BS49" i="3" s="1"/>
  <c r="CA41" i="3"/>
  <c r="CA47" i="3" s="1"/>
  <c r="CM41" i="3"/>
  <c r="CM47" i="3" s="1"/>
  <c r="DV41" i="3"/>
  <c r="DV47" i="3" s="1"/>
  <c r="AX21" i="3"/>
  <c r="AX41" i="3" s="1"/>
  <c r="AX47" i="3" s="1"/>
  <c r="AX49" i="3" s="1"/>
  <c r="CX41" i="3"/>
  <c r="CX47" i="3" s="1"/>
  <c r="CX49" i="3" s="1"/>
  <c r="DW41" i="3"/>
  <c r="DW47" i="3" s="1"/>
  <c r="AY21" i="3"/>
  <c r="AY41" i="3" s="1"/>
  <c r="AY47" i="3" s="1"/>
  <c r="AY49" i="3" s="1"/>
  <c r="EP21" i="3"/>
  <c r="U49" i="3"/>
  <c r="Y49" i="3"/>
  <c r="AC49" i="3"/>
  <c r="AO49" i="3"/>
  <c r="AS49" i="3"/>
  <c r="AW49" i="3"/>
  <c r="AR41" i="3"/>
  <c r="AR47" i="3" s="1"/>
  <c r="BZ41" i="3"/>
  <c r="BZ47" i="3" s="1"/>
  <c r="BZ49" i="3" s="1"/>
  <c r="DK41" i="3"/>
  <c r="DK47" i="3" s="1"/>
  <c r="S49" i="3"/>
  <c r="W49" i="3"/>
  <c r="AA49" i="3"/>
  <c r="AE49" i="3"/>
  <c r="AM49" i="3"/>
  <c r="AQ49" i="3"/>
  <c r="BC49" i="3"/>
  <c r="BO49" i="3"/>
  <c r="AU41" i="3"/>
  <c r="AU47" i="3" s="1"/>
  <c r="AU49" i="3" s="1"/>
  <c r="BK41" i="3"/>
  <c r="BK47" i="3" s="1"/>
  <c r="BK49" i="3" s="1"/>
  <c r="AV41" i="3"/>
  <c r="AV47" i="3" s="1"/>
  <c r="AV49" i="3" s="1"/>
  <c r="BD41" i="3"/>
  <c r="BD47" i="3" s="1"/>
  <c r="BD49" i="3" s="1"/>
  <c r="CV41" i="3"/>
  <c r="CV47" i="3" s="1"/>
  <c r="CV49" i="3" s="1"/>
  <c r="CT21" i="3"/>
  <c r="CS21" i="3" s="1"/>
  <c r="CS41" i="3" s="1"/>
  <c r="CS47" i="3" s="1"/>
  <c r="BA41" i="3"/>
  <c r="BA47" i="3" s="1"/>
  <c r="BA49" i="3" s="1"/>
  <c r="BE41" i="3"/>
  <c r="BE47" i="3" s="1"/>
  <c r="BE49" i="3" s="1"/>
  <c r="BM41" i="3"/>
  <c r="BM47" i="3" s="1"/>
  <c r="BM49" i="3" s="1"/>
  <c r="CO41" i="3"/>
  <c r="CO47" i="3" s="1"/>
  <c r="AI21" i="3"/>
  <c r="AH21" i="3" s="1"/>
  <c r="AG21" i="3" s="1"/>
  <c r="AG41" i="3" s="1"/>
  <c r="AG47" i="3" s="1"/>
  <c r="AG49" i="3" s="1"/>
  <c r="AZ21" i="3"/>
  <c r="AZ41" i="3" s="1"/>
  <c r="AZ47" i="3" s="1"/>
  <c r="AZ49" i="3" s="1"/>
  <c r="CU21" i="3"/>
  <c r="CU41" i="3" s="1"/>
  <c r="CU47" i="3" s="1"/>
  <c r="EN21" i="3"/>
  <c r="ER21" i="3"/>
  <c r="ER41" i="3" s="1"/>
  <c r="ER47" i="3" s="1"/>
  <c r="AT41" i="3"/>
  <c r="AT47" i="3" s="1"/>
  <c r="AT49" i="3" s="1"/>
  <c r="EP41" i="3"/>
  <c r="EP47" i="3" s="1"/>
  <c r="ET41" i="3"/>
  <c r="ET47" i="3" s="1"/>
  <c r="CI21" i="3"/>
  <c r="CH21" i="3" s="1"/>
  <c r="CG21" i="3" s="1"/>
  <c r="EO21" i="3"/>
  <c r="EO41" i="3" s="1"/>
  <c r="EO47" i="3" s="1"/>
  <c r="ES21" i="3"/>
  <c r="ES41" i="3" s="1"/>
  <c r="ES47" i="3" s="1"/>
  <c r="R41" i="3"/>
  <c r="R47" i="3" s="1"/>
  <c r="R49" i="3" s="1"/>
  <c r="DN41" i="3"/>
  <c r="DN47" i="3" s="1"/>
  <c r="EI41" i="3"/>
  <c r="EI47" i="3" s="1"/>
  <c r="EQ41" i="3"/>
  <c r="EQ47" i="3" s="1"/>
  <c r="DJ41" i="3"/>
  <c r="DJ47" i="3" s="1"/>
  <c r="EE21" i="3"/>
  <c r="EC21" i="3" s="1"/>
  <c r="EA21" i="3" s="1"/>
  <c r="DZ21" i="3" s="1"/>
  <c r="EG21" i="3"/>
  <c r="EG41" i="3" s="1"/>
  <c r="EG47" i="3" s="1"/>
  <c r="CK21" i="3"/>
  <c r="BW37" i="3"/>
  <c r="BW41" i="3" s="1"/>
  <c r="BW47" i="3" s="1"/>
  <c r="CE37" i="3"/>
  <c r="DC37" i="3"/>
  <c r="BL41" i="3"/>
  <c r="BL47" i="3" s="1"/>
  <c r="BL49" i="3" s="1"/>
  <c r="EW14" i="3"/>
  <c r="BJ21" i="3"/>
  <c r="BI21" i="3" s="1"/>
  <c r="BI41" i="3" s="1"/>
  <c r="BI47" i="3" s="1"/>
  <c r="BI49" i="3" s="1"/>
  <c r="DP21" i="3"/>
  <c r="DG37" i="3"/>
  <c r="EB37" i="3"/>
  <c r="DY37" i="3" s="1"/>
  <c r="EW10" i="3"/>
  <c r="V41" i="3"/>
  <c r="V47" i="3" s="1"/>
  <c r="V49" i="3" s="1"/>
  <c r="AF41" i="3"/>
  <c r="AF47" i="3" s="1"/>
  <c r="AJ41" i="3"/>
  <c r="AJ47" i="3" s="1"/>
  <c r="AJ49" i="3" s="1"/>
  <c r="CL41" i="3"/>
  <c r="CL47" i="3" s="1"/>
  <c r="CL49" i="3" s="1"/>
  <c r="CN41" i="3"/>
  <c r="CN47" i="3" s="1"/>
  <c r="CN49" i="3" s="1"/>
  <c r="EH41" i="3"/>
  <c r="EH47" i="3" s="1"/>
  <c r="BQ21" i="3"/>
  <c r="BP21" i="3" s="1"/>
  <c r="BP41" i="3" s="1"/>
  <c r="BP47" i="3" s="1"/>
  <c r="BP49" i="3" s="1"/>
  <c r="CJ21" i="3"/>
  <c r="CW41" i="3"/>
  <c r="CW47" i="3" s="1"/>
  <c r="CY41" i="3"/>
  <c r="CY47" i="3" s="1"/>
  <c r="DO21" i="3"/>
  <c r="DR21" i="3"/>
  <c r="DR41" i="3" s="1"/>
  <c r="DR47" i="3" s="1"/>
  <c r="EF21" i="3"/>
  <c r="ED21" i="3" s="1"/>
  <c r="EB21" i="3" s="1"/>
  <c r="DO25" i="3"/>
  <c r="CI37" i="3"/>
  <c r="BR41" i="3"/>
  <c r="BR47" i="3" s="1"/>
  <c r="BR49" i="3" s="1"/>
  <c r="DQ25" i="3"/>
  <c r="BY37" i="3"/>
  <c r="BT37" i="3" s="1"/>
  <c r="CC37" i="3"/>
  <c r="CC41" i="3" s="1"/>
  <c r="CC47" i="3" s="1"/>
  <c r="CG37" i="3"/>
  <c r="CK37" i="3"/>
  <c r="DA37" i="3"/>
  <c r="DA41" i="3" s="1"/>
  <c r="DA47" i="3" s="1"/>
  <c r="DE37" i="3"/>
  <c r="DI37" i="3"/>
  <c r="DI41" i="3" s="1"/>
  <c r="DI47" i="3" s="1"/>
  <c r="DP37" i="3"/>
  <c r="DM37" i="3" s="1"/>
  <c r="DM41" i="3" s="1"/>
  <c r="DM47" i="3" s="1"/>
  <c r="Q41" i="3"/>
  <c r="Q47" i="3" s="1"/>
  <c r="Q49" i="3" s="1"/>
  <c r="P47" i="3"/>
  <c r="P49" i="3" s="1"/>
  <c r="T45" i="3"/>
  <c r="T37" i="3"/>
  <c r="T41" i="3" s="1"/>
  <c r="T47" i="3" s="1"/>
  <c r="DB45" i="3"/>
  <c r="DB16" i="3"/>
  <c r="DD45" i="3"/>
  <c r="DD16" i="3"/>
  <c r="DF45" i="3"/>
  <c r="DF16" i="3"/>
  <c r="DH45" i="3"/>
  <c r="DH16" i="3"/>
  <c r="DJ45" i="3"/>
  <c r="DJ16" i="3"/>
  <c r="DL45" i="3"/>
  <c r="DL16" i="3"/>
  <c r="DN45" i="3"/>
  <c r="DN16" i="3"/>
  <c r="DP45" i="3"/>
  <c r="DP16" i="3"/>
  <c r="DR45" i="3"/>
  <c r="DR16" i="3"/>
  <c r="DT45" i="3"/>
  <c r="DT49" i="3" s="1"/>
  <c r="DT16" i="3"/>
  <c r="DV45" i="3"/>
  <c r="DV16" i="3"/>
  <c r="DX45" i="3"/>
  <c r="DX49" i="3" s="1"/>
  <c r="DX16" i="3"/>
  <c r="DZ45" i="3"/>
  <c r="DZ16" i="3"/>
  <c r="EB45" i="3"/>
  <c r="EB16" i="3"/>
  <c r="ED45" i="3"/>
  <c r="ED16" i="3"/>
  <c r="EF45" i="3"/>
  <c r="EF16" i="3"/>
  <c r="EH45" i="3"/>
  <c r="EH16" i="3"/>
  <c r="EJ45" i="3"/>
  <c r="EJ16" i="3"/>
  <c r="EL45" i="3"/>
  <c r="EL16" i="3"/>
  <c r="EN45" i="3"/>
  <c r="EN16" i="3"/>
  <c r="EP45" i="3"/>
  <c r="EP16" i="3"/>
  <c r="ER45" i="3"/>
  <c r="ER16" i="3"/>
  <c r="ET45" i="3"/>
  <c r="ET16" i="3"/>
  <c r="EW8" i="3"/>
  <c r="Q16" i="3"/>
  <c r="S16" i="3"/>
  <c r="U16" i="3"/>
  <c r="W16" i="3"/>
  <c r="Y16" i="3"/>
  <c r="AA16" i="3"/>
  <c r="AC16" i="3"/>
  <c r="AE16" i="3"/>
  <c r="AG16" i="3"/>
  <c r="AI16" i="3"/>
  <c r="AK16" i="3"/>
  <c r="AM16" i="3"/>
  <c r="AO16" i="3"/>
  <c r="AQ16" i="3"/>
  <c r="AS16" i="3"/>
  <c r="AU16" i="3"/>
  <c r="AW16" i="3"/>
  <c r="AY16" i="3"/>
  <c r="BA16" i="3"/>
  <c r="BC16" i="3"/>
  <c r="BE16" i="3"/>
  <c r="BG16" i="3"/>
  <c r="BI16" i="3"/>
  <c r="BK16" i="3"/>
  <c r="BM16" i="3"/>
  <c r="BO16" i="3"/>
  <c r="BQ16" i="3"/>
  <c r="BS16" i="3"/>
  <c r="BU16" i="3"/>
  <c r="BX16" i="3"/>
  <c r="CB16" i="3"/>
  <c r="CF16" i="3"/>
  <c r="CJ16" i="3"/>
  <c r="CN16" i="3"/>
  <c r="CR16" i="3"/>
  <c r="CV16" i="3"/>
  <c r="CZ16" i="3"/>
  <c r="EM25" i="3"/>
  <c r="EK25" i="3"/>
  <c r="EK41" i="3" s="1"/>
  <c r="EK47" i="3" s="1"/>
  <c r="EN25" i="3"/>
  <c r="EL25" i="3"/>
  <c r="EL41" i="3" s="1"/>
  <c r="EL47" i="3" s="1"/>
  <c r="EJ25" i="3"/>
  <c r="EJ41" i="3" s="1"/>
  <c r="EJ47" i="3" s="1"/>
  <c r="BW45" i="3"/>
  <c r="BW16" i="3"/>
  <c r="BY45" i="3"/>
  <c r="BY16" i="3"/>
  <c r="CA45" i="3"/>
  <c r="CA16" i="3"/>
  <c r="CC45" i="3"/>
  <c r="CC16" i="3"/>
  <c r="CE45" i="3"/>
  <c r="CE16" i="3"/>
  <c r="CG45" i="3"/>
  <c r="CG16" i="3"/>
  <c r="CI45" i="3"/>
  <c r="CI16" i="3"/>
  <c r="CK45" i="3"/>
  <c r="CK16" i="3"/>
  <c r="CM45" i="3"/>
  <c r="CM16" i="3"/>
  <c r="CO45" i="3"/>
  <c r="CO16" i="3"/>
  <c r="CQ45" i="3"/>
  <c r="CQ16" i="3"/>
  <c r="CS45" i="3"/>
  <c r="CS16" i="3"/>
  <c r="CU45" i="3"/>
  <c r="CU16" i="3"/>
  <c r="CW45" i="3"/>
  <c r="CW16" i="3"/>
  <c r="CY45" i="3"/>
  <c r="CY16" i="3"/>
  <c r="DA45" i="3"/>
  <c r="DA16" i="3"/>
  <c r="DC45" i="3"/>
  <c r="DC16" i="3"/>
  <c r="DE45" i="3"/>
  <c r="DE16" i="3"/>
  <c r="DG45" i="3"/>
  <c r="DG16" i="3"/>
  <c r="DI45" i="3"/>
  <c r="DI16" i="3"/>
  <c r="DK45" i="3"/>
  <c r="DK16" i="3"/>
  <c r="DM45" i="3"/>
  <c r="DM16" i="3"/>
  <c r="DO45" i="3"/>
  <c r="DO16" i="3"/>
  <c r="DQ45" i="3"/>
  <c r="DQ16" i="3"/>
  <c r="DS45" i="3"/>
  <c r="DS16" i="3"/>
  <c r="DU45" i="3"/>
  <c r="DU49" i="3" s="1"/>
  <c r="DU16" i="3"/>
  <c r="DW45" i="3"/>
  <c r="DW16" i="3"/>
  <c r="DY45" i="3"/>
  <c r="DY16" i="3"/>
  <c r="EA45" i="3"/>
  <c r="EA16" i="3"/>
  <c r="EC45" i="3"/>
  <c r="EC16" i="3"/>
  <c r="EE45" i="3"/>
  <c r="EE16" i="3"/>
  <c r="EG45" i="3"/>
  <c r="EG16" i="3"/>
  <c r="EI45" i="3"/>
  <c r="EI16" i="3"/>
  <c r="EK45" i="3"/>
  <c r="EK16" i="3"/>
  <c r="EM45" i="3"/>
  <c r="EM16" i="3"/>
  <c r="EO45" i="3"/>
  <c r="EO16" i="3"/>
  <c r="EQ45" i="3"/>
  <c r="EQ16" i="3"/>
  <c r="ES45" i="3"/>
  <c r="ES16" i="3"/>
  <c r="EU45" i="3"/>
  <c r="EU49" i="3" s="1"/>
  <c r="EU16" i="3"/>
  <c r="R16" i="3"/>
  <c r="T16" i="3"/>
  <c r="V16" i="3"/>
  <c r="X16" i="3"/>
  <c r="Z16" i="3"/>
  <c r="AB16" i="3"/>
  <c r="AD16" i="3"/>
  <c r="AF16" i="3"/>
  <c r="AH16" i="3"/>
  <c r="AJ16" i="3"/>
  <c r="AL16" i="3"/>
  <c r="AN16" i="3"/>
  <c r="AP16" i="3"/>
  <c r="AR16" i="3"/>
  <c r="AT16" i="3"/>
  <c r="AV16" i="3"/>
  <c r="AX16" i="3"/>
  <c r="AZ16" i="3"/>
  <c r="BB16" i="3"/>
  <c r="BD16" i="3"/>
  <c r="BF16" i="3"/>
  <c r="BH16" i="3"/>
  <c r="BJ16" i="3"/>
  <c r="BL16" i="3"/>
  <c r="BN16" i="3"/>
  <c r="BP16" i="3"/>
  <c r="BR16" i="3"/>
  <c r="BT16" i="3"/>
  <c r="BV16" i="3"/>
  <c r="BZ16" i="3"/>
  <c r="CD16" i="3"/>
  <c r="CH16" i="3"/>
  <c r="CL16" i="3"/>
  <c r="CP16" i="3"/>
  <c r="CT16" i="3"/>
  <c r="CX16" i="3"/>
  <c r="EM41" i="3"/>
  <c r="EM47" i="3" s="1"/>
  <c r="BV21" i="3"/>
  <c r="BT21" i="3"/>
  <c r="BU21" i="3"/>
  <c r="BU41" i="3" s="1"/>
  <c r="BU47" i="3" s="1"/>
  <c r="BU49" i="3" s="1"/>
  <c r="EC19" i="3"/>
  <c r="EE19" i="3"/>
  <c r="DG21" i="3"/>
  <c r="DQ21" i="3"/>
  <c r="DS21" i="3"/>
  <c r="DS37" i="3" s="1"/>
  <c r="DO37" i="3"/>
  <c r="DL37" i="3" s="1"/>
  <c r="DL41" i="3" s="1"/>
  <c r="DL47" i="3" s="1"/>
  <c r="DZ19" i="3"/>
  <c r="DP25" i="3"/>
  <c r="BV37" i="3"/>
  <c r="BX37" i="3"/>
  <c r="BX41" i="3" s="1"/>
  <c r="BX47" i="3" s="1"/>
  <c r="BX49" i="3" s="1"/>
  <c r="CB37" i="3"/>
  <c r="CB41" i="3" s="1"/>
  <c r="CB47" i="3" s="1"/>
  <c r="CB49" i="3" s="1"/>
  <c r="CD37" i="3"/>
  <c r="CF37" i="3"/>
  <c r="CH37" i="3"/>
  <c r="CJ37" i="3"/>
  <c r="CZ37" i="3"/>
  <c r="CZ41" i="3" s="1"/>
  <c r="CZ47" i="3" s="1"/>
  <c r="CZ49" i="3" s="1"/>
  <c r="DB37" i="3"/>
  <c r="DD37" i="3"/>
  <c r="DF37" i="3"/>
  <c r="DH37" i="3"/>
  <c r="DH41" i="3" s="1"/>
  <c r="DH47" i="3" s="1"/>
  <c r="EA37" i="3"/>
  <c r="EN41" i="3" l="1"/>
  <c r="EN47" i="3" s="1"/>
  <c r="CH41" i="3"/>
  <c r="CH47" i="3" s="1"/>
  <c r="CH49" i="3" s="1"/>
  <c r="CE21" i="3"/>
  <c r="CD21" i="3" s="1"/>
  <c r="CD41" i="3" s="1"/>
  <c r="CD47" i="3" s="1"/>
  <c r="CD49" i="3" s="1"/>
  <c r="CK41" i="3"/>
  <c r="CK47" i="3" s="1"/>
  <c r="CK49" i="3" s="1"/>
  <c r="DW49" i="3"/>
  <c r="CM49" i="3"/>
  <c r="EP49" i="3"/>
  <c r="DV49" i="3"/>
  <c r="CG41" i="3"/>
  <c r="CG47" i="3" s="1"/>
  <c r="CG49" i="3" s="1"/>
  <c r="CF21" i="3"/>
  <c r="CA49" i="3"/>
  <c r="DK49" i="3"/>
  <c r="AH41" i="3"/>
  <c r="AH47" i="3" s="1"/>
  <c r="AH49" i="3" s="1"/>
  <c r="EE41" i="3"/>
  <c r="EE55" i="3" s="1"/>
  <c r="CR21" i="3"/>
  <c r="CQ21" i="3" s="1"/>
  <c r="CP21" i="3" s="1"/>
  <c r="CP41" i="3" s="1"/>
  <c r="CP47" i="3" s="1"/>
  <c r="CP49" i="3" s="1"/>
  <c r="CT41" i="3"/>
  <c r="CT47" i="3" s="1"/>
  <c r="CT49" i="3" s="1"/>
  <c r="EA41" i="3"/>
  <c r="EA47" i="3" s="1"/>
  <c r="EA49" i="3" s="1"/>
  <c r="CF41" i="3"/>
  <c r="CF47" i="3" s="1"/>
  <c r="CF49" i="3" s="1"/>
  <c r="DN49" i="3"/>
  <c r="DJ49" i="3"/>
  <c r="CI41" i="3"/>
  <c r="CI47" i="3" s="1"/>
  <c r="CI49" i="3" s="1"/>
  <c r="ER49" i="3"/>
  <c r="CY49" i="3"/>
  <c r="CU49" i="3"/>
  <c r="ET49" i="3"/>
  <c r="ES49" i="3"/>
  <c r="EO49" i="3"/>
  <c r="CO49" i="3"/>
  <c r="AI41" i="3"/>
  <c r="AI47" i="3" s="1"/>
  <c r="AI49" i="3" s="1"/>
  <c r="DP41" i="3"/>
  <c r="DP47" i="3" s="1"/>
  <c r="DP49" i="3" s="1"/>
  <c r="EQ49" i="3"/>
  <c r="EI49" i="3"/>
  <c r="CW49" i="3"/>
  <c r="CS49" i="3"/>
  <c r="BG21" i="3"/>
  <c r="EG49" i="3"/>
  <c r="BW49" i="3"/>
  <c r="CJ41" i="3"/>
  <c r="CJ47" i="3" s="1"/>
  <c r="CJ49" i="3" s="1"/>
  <c r="BH21" i="3"/>
  <c r="BH41" i="3" s="1"/>
  <c r="BH47" i="3" s="1"/>
  <c r="BH49" i="3" s="1"/>
  <c r="EH49" i="3"/>
  <c r="EF41" i="3"/>
  <c r="EF47" i="3" s="1"/>
  <c r="EF49" i="3" s="1"/>
  <c r="BJ41" i="3"/>
  <c r="BJ47" i="3" s="1"/>
  <c r="BJ49" i="3" s="1"/>
  <c r="BY41" i="3"/>
  <c r="BY47" i="3" s="1"/>
  <c r="BY49" i="3" s="1"/>
  <c r="DR49" i="3"/>
  <c r="ED41" i="3"/>
  <c r="BQ41" i="3"/>
  <c r="BQ47" i="3" s="1"/>
  <c r="BQ49" i="3" s="1"/>
  <c r="CC49" i="3"/>
  <c r="BV41" i="3"/>
  <c r="BV47" i="3" s="1"/>
  <c r="BV49" i="3" s="1"/>
  <c r="DQ41" i="3"/>
  <c r="DQ47" i="3" s="1"/>
  <c r="DQ49" i="3" s="1"/>
  <c r="BT41" i="3"/>
  <c r="BT47" i="3" s="1"/>
  <c r="BT49" i="3" s="1"/>
  <c r="DM49" i="3"/>
  <c r="DI49" i="3"/>
  <c r="DA49" i="3"/>
  <c r="EC41" i="3"/>
  <c r="EC47" i="3" s="1"/>
  <c r="EC49" i="3" s="1"/>
  <c r="EB19" i="3"/>
  <c r="EB41" i="3" s="1"/>
  <c r="EB47" i="3" s="1"/>
  <c r="EB49" i="3" s="1"/>
  <c r="DS41" i="3"/>
  <c r="DS47" i="3" s="1"/>
  <c r="DS49" i="3" s="1"/>
  <c r="DO41" i="3"/>
  <c r="DO47" i="3" s="1"/>
  <c r="DO49" i="3" s="1"/>
  <c r="EW16" i="3"/>
  <c r="T49" i="3"/>
  <c r="DZ41" i="3"/>
  <c r="DZ47" i="3" s="1"/>
  <c r="DZ49" i="3" s="1"/>
  <c r="DY19" i="3"/>
  <c r="DY41" i="3" s="1"/>
  <c r="DY47" i="3" s="1"/>
  <c r="DY49" i="3" s="1"/>
  <c r="DG41" i="3"/>
  <c r="DG47" i="3" s="1"/>
  <c r="DG49" i="3" s="1"/>
  <c r="DF21" i="3"/>
  <c r="EM49" i="3"/>
  <c r="EK49" i="3"/>
  <c r="EN49" i="3"/>
  <c r="EL49" i="3"/>
  <c r="EJ49" i="3"/>
  <c r="DL49" i="3"/>
  <c r="DH49" i="3"/>
  <c r="CE41" i="3" l="1"/>
  <c r="CE47" i="3" s="1"/>
  <c r="CE49" i="3" s="1"/>
  <c r="EE47" i="3"/>
  <c r="EE49" i="3" s="1"/>
  <c r="CR41" i="3"/>
  <c r="CR47" i="3" s="1"/>
  <c r="CR49" i="3" s="1"/>
  <c r="CQ41" i="3"/>
  <c r="CQ47" i="3" s="1"/>
  <c r="CQ49" i="3" s="1"/>
  <c r="BF21" i="3"/>
  <c r="BF41" i="3" s="1"/>
  <c r="BF47" i="3" s="1"/>
  <c r="BF49" i="3" s="1"/>
  <c r="BG41" i="3"/>
  <c r="BG47" i="3" s="1"/>
  <c r="BG49" i="3" s="1"/>
  <c r="ED55" i="3"/>
  <c r="ED47" i="3"/>
  <c r="ED49" i="3" s="1"/>
  <c r="DD21" i="3"/>
  <c r="DD41" i="3" s="1"/>
  <c r="DD47" i="3" s="1"/>
  <c r="DD49" i="3" s="1"/>
  <c r="DF41" i="3"/>
  <c r="DF47" i="3" s="1"/>
  <c r="DF49" i="3" s="1"/>
  <c r="DE21" i="3"/>
  <c r="DE41" i="3" s="1"/>
  <c r="DE47" i="3" s="1"/>
  <c r="DE49" i="3" s="1"/>
  <c r="DC21" i="3"/>
  <c r="DC41" i="3" l="1"/>
  <c r="DC47" i="3" s="1"/>
  <c r="DC49" i="3" s="1"/>
  <c r="DB21" i="3"/>
  <c r="DB41" i="3" s="1"/>
  <c r="DB47" i="3" s="1"/>
  <c r="DB49" i="3" s="1"/>
</calcChain>
</file>

<file path=xl/comments1.xml><?xml version="1.0" encoding="utf-8"?>
<comments xmlns="http://schemas.openxmlformats.org/spreadsheetml/2006/main">
  <authors>
    <author>Virginia Dept. of Education</author>
  </authors>
  <commentList>
    <comment ref="B31" authorId="0" shapeId="0">
      <text>
        <r>
          <rPr>
            <b/>
            <sz val="8"/>
            <color indexed="81"/>
            <rFont val="Tahoma"/>
            <family val="2"/>
          </rPr>
          <t>Reminder: for October 2014 agenda, enter figure so that the LF commitments line equals zero.</t>
        </r>
      </text>
    </comment>
  </commentList>
</comments>
</file>

<file path=xl/comments2.xml><?xml version="1.0" encoding="utf-8"?>
<comments xmlns="http://schemas.openxmlformats.org/spreadsheetml/2006/main">
  <authors>
    <author>Virginia Dept. of Education</author>
    <author>Chris Moore</author>
    <author>E_Lanza</author>
    <author>xcu03843</author>
    <author>Snellings, Christina (DOE)</author>
    <author>aqd29003</author>
    <author>Brian Logwood</author>
    <author>VITA Program</author>
    <author>Kirsten Olson</author>
  </authors>
  <commentList>
    <comment ref="B12" authorId="0" shapeId="0">
      <text>
        <r>
          <rPr>
            <sz val="11"/>
            <color indexed="81"/>
            <rFont val="Tahoma"/>
            <family val="2"/>
          </rPr>
          <t>Effective May 1, 2004, all Literary loans were transferred back to the  Literary Fund.  In action approved by the VPSA Board in its 3/17/04 meeting, the Board repealed the 87 Resolution which had necessitated the transfer of the loan assets to the VPSA.  As there is no  longer a reason for the VPSA to hold the assets, they have been returned to the Literary Fund.  Residual amounts still being sent to the VPSA will be returned as they are received.</t>
        </r>
      </text>
    </comment>
    <comment ref="EE19" authorId="1" shapeId="0">
      <text>
        <r>
          <rPr>
            <b/>
            <sz val="8"/>
            <color indexed="81"/>
            <rFont val="Tahoma"/>
            <family val="2"/>
          </rPr>
          <t>Chris Moore:</t>
        </r>
        <r>
          <rPr>
            <sz val="8"/>
            <color indexed="81"/>
            <rFont val="Tahoma"/>
            <family val="2"/>
          </rPr>
          <t xml:space="preserve">
Include same amt as in Dec for this presentation</t>
        </r>
      </text>
    </comment>
    <comment ref="C21" authorId="2" shapeId="0">
      <text>
        <r>
          <rPr>
            <b/>
            <sz val="9"/>
            <color indexed="81"/>
            <rFont val="Tahoma"/>
            <charset val="1"/>
          </rPr>
          <t>E_Lanza:</t>
        </r>
        <r>
          <rPr>
            <sz val="9"/>
            <color indexed="81"/>
            <rFont val="Tahoma"/>
            <charset val="1"/>
          </rPr>
          <t xml:space="preserve">
Based on Item 136 of Ch 854, less the October 2019 debt service payment.</t>
        </r>
      </text>
    </comment>
    <comment ref="D21" authorId="2" shapeId="0">
      <text>
        <r>
          <rPr>
            <b/>
            <sz val="9"/>
            <color indexed="81"/>
            <rFont val="Tahoma"/>
            <family val="2"/>
          </rPr>
          <t>E_Lanza:</t>
        </r>
        <r>
          <rPr>
            <sz val="9"/>
            <color indexed="81"/>
            <rFont val="Tahoma"/>
            <family val="2"/>
          </rPr>
          <t xml:space="preserve">
Based on Item 136 of Ch 854, less the October 2019 debt service payment.</t>
        </r>
      </text>
    </comment>
    <comment ref="E21" authorId="2" shapeId="0">
      <text>
        <r>
          <rPr>
            <b/>
            <sz val="9"/>
            <color indexed="81"/>
            <rFont val="Tahoma"/>
            <family val="2"/>
          </rPr>
          <t>E_Lanza:</t>
        </r>
        <r>
          <rPr>
            <sz val="9"/>
            <color indexed="81"/>
            <rFont val="Tahoma"/>
            <family val="2"/>
          </rPr>
          <t xml:space="preserve">
Based on Chapter 854, Item 136.</t>
        </r>
      </text>
    </comment>
    <comment ref="I21" authorId="2" shapeId="0">
      <text>
        <r>
          <rPr>
            <b/>
            <sz val="9"/>
            <color indexed="81"/>
            <rFont val="Tahoma"/>
            <family val="2"/>
          </rPr>
          <t>E_Lanza:</t>
        </r>
        <r>
          <rPr>
            <sz val="9"/>
            <color indexed="81"/>
            <rFont val="Tahoma"/>
            <family val="2"/>
          </rPr>
          <t xml:space="preserve">
Based on Item 136 of Chapter 2.</t>
        </r>
      </text>
    </comment>
    <comment ref="K21" authorId="2" shapeId="0">
      <text>
        <r>
          <rPr>
            <b/>
            <sz val="9"/>
            <color indexed="81"/>
            <rFont val="Tahoma"/>
            <family val="2"/>
          </rPr>
          <t>E_Lanza:</t>
        </r>
        <r>
          <rPr>
            <sz val="9"/>
            <color indexed="81"/>
            <rFont val="Tahoma"/>
            <family val="2"/>
          </rPr>
          <t xml:space="preserve">
Based on Item 139 of HB29 as introduced less $3,058,694 debt payment Oct 2017</t>
        </r>
      </text>
    </comment>
    <comment ref="L21" authorId="2" shapeId="0">
      <text>
        <r>
          <rPr>
            <b/>
            <sz val="9"/>
            <color indexed="81"/>
            <rFont val="Tahoma"/>
            <family val="2"/>
          </rPr>
          <t>E_Lanza:</t>
        </r>
        <r>
          <rPr>
            <sz val="9"/>
            <color indexed="81"/>
            <rFont val="Tahoma"/>
            <family val="2"/>
          </rPr>
          <t xml:space="preserve">
Based on Item 139 of HB29 as introduced less $3,058,694 debt payment Oct 2017</t>
        </r>
      </text>
    </comment>
    <comment ref="M21" authorId="2" shapeId="0">
      <text>
        <r>
          <rPr>
            <b/>
            <sz val="9"/>
            <color indexed="81"/>
            <rFont val="Tahoma"/>
            <family val="2"/>
          </rPr>
          <t>E_Lanza:</t>
        </r>
        <r>
          <rPr>
            <sz val="9"/>
            <color indexed="81"/>
            <rFont val="Tahoma"/>
            <family val="2"/>
          </rPr>
          <t xml:space="preserve">
Based on Item 139 of HB29 as introduced</t>
        </r>
      </text>
    </comment>
    <comment ref="O21" authorId="3" shapeId="0">
      <text>
        <r>
          <rPr>
            <b/>
            <sz val="9"/>
            <color indexed="81"/>
            <rFont val="Tahoma"/>
            <family val="2"/>
          </rPr>
          <t>kcd:
From Item 139, HB 1500 as Enrolled LESS debt service payment in Oct. 2016 of $3,755,338.</t>
        </r>
      </text>
    </comment>
    <comment ref="P21" authorId="3" shapeId="0">
      <text>
        <r>
          <rPr>
            <b/>
            <sz val="9"/>
            <color indexed="81"/>
            <rFont val="Tahoma"/>
            <family val="2"/>
          </rPr>
          <t>kcd:
From Item 139, HB 1500 as Enrolled LESS debt service payment in Oct. 2016 of $3,755,338.</t>
        </r>
      </text>
    </comment>
    <comment ref="V21" authorId="4" shapeId="0">
      <text>
        <r>
          <rPr>
            <b/>
            <sz val="9"/>
            <color indexed="81"/>
            <rFont val="Tahoma"/>
            <family val="2"/>
          </rPr>
          <t xml:space="preserve">Snellings, Christina (DOE): Split 10/15 debt payments between tech notes and security equipment notes
</t>
        </r>
        <r>
          <rPr>
            <sz val="9"/>
            <color indexed="81"/>
            <rFont val="Tahoma"/>
            <family val="2"/>
          </rPr>
          <t xml:space="preserve">
</t>
        </r>
      </text>
    </comment>
    <comment ref="Z21" authorId="4" shapeId="0">
      <text>
        <r>
          <rPr>
            <b/>
            <sz val="9"/>
            <color indexed="81"/>
            <rFont val="Tahoma"/>
            <family val="2"/>
          </rPr>
          <t>Snellings, Christina (DOE): Budget Bill as enrolled adjustment for Series XV - $13,808,031</t>
        </r>
        <r>
          <rPr>
            <sz val="9"/>
            <color indexed="81"/>
            <rFont val="Tahoma"/>
            <family val="2"/>
          </rPr>
          <t xml:space="preserve">
</t>
        </r>
      </text>
    </comment>
    <comment ref="AH21" authorId="4" shapeId="0">
      <text>
        <r>
          <rPr>
            <b/>
            <sz val="9"/>
            <color indexed="81"/>
            <rFont val="Tahoma"/>
            <family val="2"/>
          </rPr>
          <t>Snellings, Christina (DOE):  Bond Debt Service payments as reported by PFM</t>
        </r>
        <r>
          <rPr>
            <sz val="9"/>
            <color indexed="81"/>
            <rFont val="Tahoma"/>
            <family val="2"/>
          </rPr>
          <t xml:space="preserve">
</t>
        </r>
      </text>
    </comment>
    <comment ref="AK21" authorId="4" shapeId="0">
      <text>
        <r>
          <rPr>
            <b/>
            <sz val="9"/>
            <color indexed="81"/>
            <rFont val="Tahoma"/>
            <family val="2"/>
          </rPr>
          <t xml:space="preserve">Snellings, Christina (DOE): </t>
        </r>
        <r>
          <rPr>
            <sz val="9"/>
            <color indexed="81"/>
            <rFont val="Tahoma"/>
            <family val="2"/>
          </rPr>
          <t xml:space="preserve"> Appropriation Act adjustment for Series XIV - $13,245,121.53. plus payment of $3,938,594.
</t>
        </r>
        <r>
          <rPr>
            <sz val="9"/>
            <color indexed="81"/>
            <rFont val="Tahoma"/>
            <family val="2"/>
          </rPr>
          <t xml:space="preserve">
</t>
        </r>
      </text>
    </comment>
    <comment ref="AS21" authorId="5" shapeId="0">
      <text>
        <r>
          <rPr>
            <b/>
            <sz val="9"/>
            <color indexed="81"/>
            <rFont val="Tahoma"/>
            <family val="2"/>
          </rPr>
          <t xml:space="preserve">Per Andy McCarty, VPSA 2012A bond issuance resulted in refund savings to offset April 30th balance for equipment notes debt service.
</t>
        </r>
      </text>
    </comment>
    <comment ref="BI21" authorId="5" shapeId="0">
      <text>
        <r>
          <rPr>
            <b/>
            <sz val="8"/>
            <color indexed="81"/>
            <rFont val="Tahoma"/>
            <family val="2"/>
          </rPr>
          <t>Difference between CHAPT 806 and CHAPT 3 figures = 118,170.</t>
        </r>
      </text>
    </comment>
    <comment ref="BO21" authorId="4" shapeId="0">
      <text>
        <r>
          <rPr>
            <b/>
            <sz val="8"/>
            <color indexed="81"/>
            <rFont val="Tahoma"/>
            <family val="2"/>
          </rPr>
          <t>CHAPT 3 figures</t>
        </r>
      </text>
    </comment>
    <comment ref="CA21" authorId="5" shapeId="0">
      <text>
        <r>
          <rPr>
            <b/>
            <sz val="8"/>
            <color indexed="81"/>
            <rFont val="Tahoma"/>
            <family val="2"/>
          </rPr>
          <t>CHAPT 890 figures; Latest LF Forecast is 62,694,848.</t>
        </r>
      </text>
    </comment>
    <comment ref="CQ21" authorId="5" shapeId="0">
      <text>
        <r>
          <rPr>
            <b/>
            <sz val="8"/>
            <color indexed="81"/>
            <rFont val="Tahoma"/>
            <family val="2"/>
          </rPr>
          <t>Snellings:  Latest - Summary of LF - Gov's Fall 2010 Budget Forecast</t>
        </r>
      </text>
    </comment>
    <comment ref="DJ21" authorId="0" shapeId="0">
      <text>
        <r>
          <rPr>
            <b/>
            <sz val="8"/>
            <color indexed="81"/>
            <rFont val="Tahoma"/>
            <family val="2"/>
          </rPr>
          <t>Snellings:  this figure was incorrectly recorded as debt service; it is actually for the Technology-VPSA incentive program.</t>
        </r>
      </text>
    </comment>
    <comment ref="DW21" authorId="0" shapeId="0">
      <text>
        <r>
          <rPr>
            <b/>
            <sz val="8"/>
            <color indexed="81"/>
            <rFont val="Tahoma"/>
            <family val="2"/>
          </rPr>
          <t>Chapt 847, 2007 Session, as amended; LF Forecast spreadsheet has 63,637,703</t>
        </r>
      </text>
    </comment>
    <comment ref="EK21" authorId="6" shapeId="0">
      <text>
        <r>
          <rPr>
            <b/>
            <sz val="8"/>
            <color indexed="81"/>
            <rFont val="Tahoma"/>
            <family val="2"/>
          </rPr>
          <t>Brian Logwood:</t>
        </r>
        <r>
          <rPr>
            <sz val="8"/>
            <color indexed="81"/>
            <rFont val="Tahoma"/>
            <family val="2"/>
          </rPr>
          <t xml:space="preserve">
</t>
        </r>
      </text>
    </comment>
    <comment ref="B25" authorId="0" shapeId="0">
      <text>
        <r>
          <rPr>
            <b/>
            <sz val="8"/>
            <color indexed="81"/>
            <rFont val="Tahoma"/>
            <family val="2"/>
          </rPr>
          <t xml:space="preserve">This is a liability but once the obligation is met, the balance due on Active Projects is posted on line 5. </t>
        </r>
      </text>
    </comment>
    <comment ref="O25" authorId="3" shapeId="0">
      <text>
        <r>
          <rPr>
            <b/>
            <sz val="9"/>
            <color indexed="81"/>
            <rFont val="Tahoma"/>
            <family val="2"/>
          </rPr>
          <t>kcd:</t>
        </r>
        <r>
          <rPr>
            <sz val="9"/>
            <color indexed="81"/>
            <rFont val="Tahoma"/>
            <family val="2"/>
          </rPr>
          <t xml:space="preserve">
Interest rate subsidy grant payments made during the quarter are already reflected in the fund balance on Line 1 above.  Remaining balances due on past subsidy grants captured on Line 5.  There is no new FY17 authorization for subsidy grants in FY17 by GA so no encumbered commitment shown on Line 8.  </t>
        </r>
      </text>
    </comment>
    <comment ref="DF25" authorId="0" shapeId="0">
      <text>
        <r>
          <rPr>
            <b/>
            <sz val="8"/>
            <color indexed="81"/>
            <rFont val="Tahoma"/>
            <family val="2"/>
          </rPr>
          <t>Snellings:  Subsidy not to exceed 8,631,107 per Appropriation Detail of Educ. Assist. Programs  approved by Gen. Assembly, pending signature of Governor</t>
        </r>
      </text>
    </comment>
    <comment ref="DG25" authorId="0" shapeId="0">
      <text>
        <r>
          <rPr>
            <b/>
            <sz val="8"/>
            <color indexed="81"/>
            <rFont val="Tahoma"/>
            <family val="2"/>
          </rPr>
          <t>Snellings:  Fall Subsidy Sale took place 11/25/08; VPSA used $8,631,106.33 which included issuance fees and lag interests.</t>
        </r>
      </text>
    </comment>
    <comment ref="DO25" authorId="0" shapeId="0">
      <text>
        <r>
          <rPr>
            <b/>
            <sz val="8"/>
            <color indexed="81"/>
            <rFont val="Tahoma"/>
            <family val="2"/>
          </rPr>
          <t>Spring Subsidy Sale finalized on April 22, 2008.  LF subsidy grants totaled $1,351,794.80 plus $6,500 cost of iss. plus $12,534.60 lag interest = total of $1,370,829.40.</t>
        </r>
      </text>
    </comment>
    <comment ref="DR25" authorId="0" shapeId="0">
      <text>
        <r>
          <rPr>
            <b/>
            <sz val="8"/>
            <color indexed="81"/>
            <rFont val="Tahoma"/>
            <family val="2"/>
          </rPr>
          <t>Snellings:  This will change if there is a spring subsidy sale.  Any remaining liability will be removed.</t>
        </r>
      </text>
    </comment>
    <comment ref="DS25" authorId="6" shapeId="0">
      <text>
        <r>
          <rPr>
            <b/>
            <sz val="8"/>
            <color indexed="81"/>
            <rFont val="Tahoma"/>
            <family val="2"/>
          </rPr>
          <t>Brian Logwood:</t>
        </r>
        <r>
          <rPr>
            <sz val="8"/>
            <color indexed="81"/>
            <rFont val="Tahoma"/>
            <family val="2"/>
          </rPr>
          <t xml:space="preserve">
Total Subsidy amount as authorized in Chapter 847 was $20 million.  VPSA used $16,917,957.48 of the $20 million in FY 2008.</t>
        </r>
      </text>
    </comment>
    <comment ref="DW25" authorId="0" shapeId="0">
      <text>
        <r>
          <rPr>
            <b/>
            <sz val="8"/>
            <color indexed="81"/>
            <rFont val="Tahoma"/>
            <family val="2"/>
          </rPr>
          <t>Chapt 847, 2007 Session, as amended</t>
        </r>
      </text>
    </comment>
    <comment ref="C27" authorId="2" shapeId="0">
      <text>
        <r>
          <rPr>
            <b/>
            <sz val="9"/>
            <color indexed="81"/>
            <rFont val="Tahoma"/>
            <charset val="1"/>
          </rPr>
          <t>E_Lanza:</t>
        </r>
        <r>
          <rPr>
            <sz val="9"/>
            <color indexed="81"/>
            <rFont val="Tahoma"/>
            <charset val="1"/>
          </rPr>
          <t xml:space="preserve">
Based on Item 136 of Ch 854, less the October 2019 debt service payment.</t>
        </r>
      </text>
    </comment>
    <comment ref="D27" authorId="2" shapeId="0">
      <text>
        <r>
          <rPr>
            <b/>
            <sz val="9"/>
            <color indexed="81"/>
            <rFont val="Tahoma"/>
            <family val="2"/>
          </rPr>
          <t>E_Lanza:</t>
        </r>
        <r>
          <rPr>
            <sz val="9"/>
            <color indexed="81"/>
            <rFont val="Tahoma"/>
            <family val="2"/>
          </rPr>
          <t xml:space="preserve">
Based on Item 136 of Ch 854, less the October 2019 debt service payment.</t>
        </r>
      </text>
    </comment>
    <comment ref="E27" authorId="2" shapeId="0">
      <text>
        <r>
          <rPr>
            <b/>
            <sz val="9"/>
            <color indexed="81"/>
            <rFont val="Tahoma"/>
            <family val="2"/>
          </rPr>
          <t>E_Lanza:</t>
        </r>
        <r>
          <rPr>
            <sz val="9"/>
            <color indexed="81"/>
            <rFont val="Tahoma"/>
            <family val="2"/>
          </rPr>
          <t xml:space="preserve">
Based on Chapter 854, Item 136</t>
        </r>
      </text>
    </comment>
    <comment ref="I27" authorId="2" shapeId="0">
      <text>
        <r>
          <rPr>
            <b/>
            <sz val="9"/>
            <color indexed="81"/>
            <rFont val="Tahoma"/>
            <family val="2"/>
          </rPr>
          <t>E_Lanza:</t>
        </r>
        <r>
          <rPr>
            <sz val="9"/>
            <color indexed="81"/>
            <rFont val="Tahoma"/>
            <family val="2"/>
          </rPr>
          <t xml:space="preserve">
From Item 136 of Chapter 2</t>
        </r>
      </text>
    </comment>
    <comment ref="K27" authorId="7" shapeId="0">
      <text>
        <r>
          <rPr>
            <b/>
            <sz val="9"/>
            <color indexed="81"/>
            <rFont val="Tahoma"/>
            <family val="2"/>
          </rPr>
          <t>Ed Lanza:</t>
        </r>
        <r>
          <rPr>
            <sz val="9"/>
            <color indexed="81"/>
            <rFont val="Tahoma"/>
            <family val="2"/>
          </rPr>
          <t xml:space="preserve">
Based on Item 139 of HB29 as introduced less $276,813 debt payment Oct 2017.</t>
        </r>
      </text>
    </comment>
    <comment ref="L27" authorId="7" shapeId="0">
      <text>
        <r>
          <rPr>
            <b/>
            <sz val="9"/>
            <color indexed="81"/>
            <rFont val="Tahoma"/>
            <family val="2"/>
          </rPr>
          <t>Ed Lanza:</t>
        </r>
        <r>
          <rPr>
            <sz val="9"/>
            <color indexed="81"/>
            <rFont val="Tahoma"/>
            <family val="2"/>
          </rPr>
          <t xml:space="preserve">
Based on Item 139 of HB29 as introduced less $276,813 debt payment Oct 2017.</t>
        </r>
      </text>
    </comment>
    <comment ref="M27" authorId="7" shapeId="0">
      <text>
        <r>
          <rPr>
            <b/>
            <sz val="9"/>
            <color indexed="81"/>
            <rFont val="Tahoma"/>
            <family val="2"/>
          </rPr>
          <t>Ed Lanza:</t>
        </r>
        <r>
          <rPr>
            <sz val="9"/>
            <color indexed="81"/>
            <rFont val="Tahoma"/>
            <family val="2"/>
          </rPr>
          <t xml:space="preserve">
From Item 139 of HB29 as introduced</t>
        </r>
      </text>
    </comment>
    <comment ref="O27" authorId="3" shapeId="0">
      <text>
        <r>
          <rPr>
            <b/>
            <sz val="9"/>
            <color indexed="81"/>
            <rFont val="Tahoma"/>
            <family val="2"/>
          </rPr>
          <t>kcd:
From Item 139, HB 1500 as Enrolled.</t>
        </r>
      </text>
    </comment>
    <comment ref="P27" authorId="3" shapeId="0">
      <text>
        <r>
          <rPr>
            <b/>
            <sz val="9"/>
            <color indexed="81"/>
            <rFont val="Tahoma"/>
            <family val="2"/>
          </rPr>
          <t>kcd:
From Item 139, HB 1500 as Enrolled.</t>
        </r>
      </text>
    </comment>
    <comment ref="V27" authorId="4" shapeId="0">
      <text>
        <r>
          <rPr>
            <b/>
            <sz val="9"/>
            <color indexed="81"/>
            <rFont val="Tahoma"/>
            <family val="2"/>
          </rPr>
          <t xml:space="preserve">Snellings, Christina (DOE): </t>
        </r>
        <r>
          <rPr>
            <sz val="9"/>
            <color indexed="81"/>
            <rFont val="Tahoma"/>
            <family val="2"/>
          </rPr>
          <t xml:space="preserve">
VPSA Treasury doc BOND DEBT SERVICE prepared by PFM</t>
        </r>
      </text>
    </comment>
    <comment ref="Z27" authorId="4" shapeId="0">
      <text>
        <r>
          <rPr>
            <b/>
            <sz val="9"/>
            <color indexed="81"/>
            <rFont val="Tahoma"/>
            <family val="2"/>
          </rPr>
          <t>Snellings, Christina (DOE): Appropriations Act adjustment</t>
        </r>
      </text>
    </comment>
    <comment ref="AF27" authorId="4" shapeId="0">
      <text>
        <r>
          <rPr>
            <b/>
            <sz val="9"/>
            <color indexed="81"/>
            <rFont val="Tahoma"/>
            <family val="2"/>
          </rPr>
          <t>Snellings, Christina (DOE):</t>
        </r>
        <r>
          <rPr>
            <sz val="9"/>
            <color indexed="81"/>
            <rFont val="Tahoma"/>
            <family val="2"/>
          </rPr>
          <t xml:space="preserve">
Rounded</t>
        </r>
      </text>
    </comment>
    <comment ref="AH27" authorId="4" shapeId="0">
      <text>
        <r>
          <rPr>
            <b/>
            <sz val="9"/>
            <color indexed="81"/>
            <rFont val="Tahoma"/>
            <family val="2"/>
          </rPr>
          <t xml:space="preserve">Snellings, Christina (DOE):  VPSA Bond Debt Service of 1,203,750 + 1,236,128.47 
for Security Equipment grants prepared by PFM
</t>
        </r>
        <r>
          <rPr>
            <sz val="9"/>
            <color indexed="81"/>
            <rFont val="Tahoma"/>
            <family val="2"/>
          </rPr>
          <t xml:space="preserve">
</t>
        </r>
      </text>
    </comment>
    <comment ref="AK27" authorId="4" shapeId="0">
      <text>
        <r>
          <rPr>
            <b/>
            <sz val="9"/>
            <color indexed="81"/>
            <rFont val="Tahoma"/>
            <family val="2"/>
          </rPr>
          <t xml:space="preserve">Snellings, Christina (DOE): </t>
        </r>
        <r>
          <rPr>
            <sz val="9"/>
            <color indexed="81"/>
            <rFont val="Tahoma"/>
            <family val="2"/>
          </rPr>
          <t xml:space="preserve">Appropriation Act adjustment
</t>
        </r>
      </text>
    </comment>
    <comment ref="AT27" authorId="5" shapeId="0">
      <text>
        <r>
          <rPr>
            <b/>
            <sz val="9"/>
            <color indexed="81"/>
            <rFont val="Tahoma"/>
            <family val="2"/>
          </rPr>
          <t>Per Andy McCarty, the VPSA 2012A bond issuance resulted in refund savings to offset Security Equipment debt service.</t>
        </r>
      </text>
    </comment>
    <comment ref="B29" authorId="0" shapeId="0">
      <text>
        <r>
          <rPr>
            <sz val="11"/>
            <color indexed="81"/>
            <rFont val="Tahoma"/>
            <family val="2"/>
          </rPr>
          <t>This amount represents the final reserve of Trigon's unclaimed property payment for reimbursement of co-payment overcharge in 1990s.  Some of the reserve was released for graphing calculators and scientific probes, this is the residual balance.</t>
        </r>
      </text>
    </comment>
    <comment ref="CM29" authorId="6" shapeId="0">
      <text>
        <r>
          <rPr>
            <b/>
            <sz val="8"/>
            <color indexed="81"/>
            <rFont val="Tahoma"/>
            <family val="2"/>
          </rPr>
          <t>Brian Logwood:</t>
        </r>
        <r>
          <rPr>
            <sz val="8"/>
            <color indexed="81"/>
            <rFont val="Tahoma"/>
            <family val="2"/>
          </rPr>
          <t xml:space="preserve">
Used for FY 2010 Teacher Retirement transfer.</t>
        </r>
      </text>
    </comment>
    <comment ref="CN29" authorId="6" shapeId="0">
      <text>
        <r>
          <rPr>
            <b/>
            <sz val="8"/>
            <color indexed="81"/>
            <rFont val="Tahoma"/>
            <family val="2"/>
          </rPr>
          <t>Brian Logwood:</t>
        </r>
        <r>
          <rPr>
            <sz val="8"/>
            <color indexed="81"/>
            <rFont val="Tahoma"/>
            <family val="2"/>
          </rPr>
          <t xml:space="preserve">
Used for FY 2010 Teacher Retirement transfer.</t>
        </r>
      </text>
    </comment>
    <comment ref="B31" authorId="0" shapeId="0">
      <text>
        <r>
          <rPr>
            <b/>
            <sz val="8"/>
            <color indexed="81"/>
            <rFont val="Tahoma"/>
            <family val="2"/>
          </rPr>
          <t xml:space="preserve">Change in July to reflect final GA budget
</t>
        </r>
      </text>
    </comment>
    <comment ref="G31" authorId="2" shapeId="0">
      <text>
        <r>
          <rPr>
            <b/>
            <sz val="9"/>
            <color indexed="81"/>
            <rFont val="Tahoma"/>
            <family val="2"/>
          </rPr>
          <t>E_Lanza:</t>
        </r>
        <r>
          <rPr>
            <sz val="9"/>
            <color indexed="81"/>
            <rFont val="Tahoma"/>
            <family val="2"/>
          </rPr>
          <t xml:space="preserve">
Chapter 854. which was not signed into law until May 2019, reduces this amount to $111.3 million.</t>
        </r>
      </text>
    </comment>
    <comment ref="O31" authorId="3" shapeId="0">
      <text>
        <r>
          <rPr>
            <b/>
            <sz val="9"/>
            <color indexed="81"/>
            <rFont val="Tahoma"/>
            <family val="2"/>
          </rPr>
          <t>kcd:
From Item 139, HB 1500 as Enrolled.</t>
        </r>
      </text>
    </comment>
    <comment ref="P31" authorId="3" shapeId="0">
      <text>
        <r>
          <rPr>
            <b/>
            <sz val="9"/>
            <color indexed="81"/>
            <rFont val="Tahoma"/>
            <family val="2"/>
          </rPr>
          <t>kcd:
From Item 139, HB 1500 as Enrolled.</t>
        </r>
      </text>
    </comment>
    <comment ref="DF31" authorId="0" shapeId="0">
      <text>
        <r>
          <rPr>
            <b/>
            <sz val="8"/>
            <color indexed="81"/>
            <rFont val="Tahoma"/>
            <family val="2"/>
          </rPr>
          <t>Snellings:  Appropriation Detail of Educ. Assist. Programs approved by Gen. Assembly, pending signature by Governor.</t>
        </r>
      </text>
    </comment>
    <comment ref="DR31" authorId="0" shapeId="0">
      <text>
        <r>
          <rPr>
            <b/>
            <sz val="8"/>
            <color indexed="81"/>
            <rFont val="Tahoma"/>
            <family val="2"/>
          </rPr>
          <t>Amendment adopted on 3/13/08 by G.A. as introduced in HB/SB 29</t>
        </r>
      </text>
    </comment>
    <comment ref="DU31" authorId="0" shapeId="0">
      <text>
        <r>
          <rPr>
            <b/>
            <sz val="8"/>
            <color indexed="81"/>
            <rFont val="Tahoma"/>
            <family val="2"/>
          </rPr>
          <t>Chapt 847, 2007 session as amended; LF forecast spreadsheet has 124,934,530</t>
        </r>
      </text>
    </comment>
    <comment ref="DV31" authorId="0" shapeId="0">
      <text>
        <r>
          <rPr>
            <b/>
            <sz val="8"/>
            <color indexed="81"/>
            <rFont val="Tahoma"/>
            <family val="2"/>
          </rPr>
          <t>Chapt 847, 2007 session as amended; LF forecast spreadsheet has 124,934,530</t>
        </r>
      </text>
    </comment>
    <comment ref="DW31" authorId="0" shapeId="0">
      <text>
        <r>
          <rPr>
            <b/>
            <sz val="8"/>
            <color indexed="81"/>
            <rFont val="Tahoma"/>
            <family val="2"/>
          </rPr>
          <t>Chapt 847, 2007 session as amended; LF forecast spreadsheet has 124,934,530</t>
        </r>
      </text>
    </comment>
    <comment ref="EI31" authorId="8" shapeId="0">
      <text>
        <r>
          <rPr>
            <b/>
            <sz val="8"/>
            <color indexed="81"/>
            <rFont val="Tahoma"/>
            <family val="2"/>
          </rPr>
          <t>Kirsten Olson:</t>
        </r>
        <r>
          <rPr>
            <sz val="8"/>
            <color indexed="81"/>
            <rFont val="Tahoma"/>
            <family val="2"/>
          </rPr>
          <t xml:space="preserve">
From Chapter 10 language.</t>
        </r>
      </text>
    </comment>
    <comment ref="EJ31" authorId="6" shapeId="0">
      <text>
        <r>
          <rPr>
            <b/>
            <sz val="8"/>
            <color indexed="81"/>
            <rFont val="Tahoma"/>
            <family val="2"/>
          </rPr>
          <t>Brian Logwood:</t>
        </r>
        <r>
          <rPr>
            <sz val="8"/>
            <color indexed="81"/>
            <rFont val="Tahoma"/>
            <family val="2"/>
          </rPr>
          <t xml:space="preserve">
Payment Transferred.  June Encumberance was removed.</t>
        </r>
      </text>
    </comment>
    <comment ref="DA33" authorId="5" shapeId="0">
      <text>
        <r>
          <rPr>
            <b/>
            <sz val="8"/>
            <color indexed="81"/>
            <rFont val="Tahoma"/>
            <family val="2"/>
          </rPr>
          <t>Snellings:  (0.46) has been written off.</t>
        </r>
      </text>
    </comment>
    <comment ref="DB33" authorId="5" shapeId="0">
      <text>
        <r>
          <rPr>
            <b/>
            <sz val="8"/>
            <color indexed="81"/>
            <rFont val="Tahoma"/>
            <family val="2"/>
          </rPr>
          <t xml:space="preserve">Snellings:  In January 2004 DOE incorrectly recorded a $10,234 draw against Washington County’s 2003 Subsidy Grant (11096).  At the same time DOE correctly recorded the same draw against Washington County’s LF Loan #11077.  This caused a duplication since Treasury’s Report for February 2004 was correct.  
</t>
        </r>
      </text>
    </comment>
    <comment ref="AF35" authorId="4" shapeId="0">
      <text>
        <r>
          <rPr>
            <b/>
            <sz val="9"/>
            <color indexed="81"/>
            <rFont val="Tahoma"/>
            <family val="2"/>
          </rPr>
          <t>Snellings, Christina (DOE):  Payment of $192,884,000 reported as part of $375,739,378 disbursed by Treasury in June 2015</t>
        </r>
        <r>
          <rPr>
            <sz val="9"/>
            <color indexed="81"/>
            <rFont val="Tahoma"/>
            <family val="2"/>
          </rPr>
          <t xml:space="preserve">
</t>
        </r>
      </text>
    </comment>
    <comment ref="AJ35" authorId="4" shapeId="0">
      <text>
        <r>
          <rPr>
            <b/>
            <sz val="9"/>
            <color indexed="81"/>
            <rFont val="Tahoma"/>
            <family val="2"/>
          </rPr>
          <t>Snellings, Christina (DOE):  Per Tracey Edwards, $192,884,000 transferred from unclaimed property as a result of a stock sale.</t>
        </r>
        <r>
          <rPr>
            <sz val="9"/>
            <color indexed="81"/>
            <rFont val="Tahoma"/>
            <family val="2"/>
          </rPr>
          <t xml:space="preserve">
</t>
        </r>
      </text>
    </comment>
    <comment ref="B37" authorId="0" shapeId="0">
      <text>
        <r>
          <rPr>
            <b/>
            <sz val="8"/>
            <color indexed="81"/>
            <rFont val="Tahoma"/>
            <family val="2"/>
          </rPr>
          <t>reflects EOY balance</t>
        </r>
      </text>
    </comment>
    <comment ref="AF37" authorId="4" shapeId="0">
      <text>
        <r>
          <rPr>
            <b/>
            <sz val="9"/>
            <color indexed="81"/>
            <rFont val="Tahoma"/>
            <family val="2"/>
          </rPr>
          <t xml:space="preserve">Snellings, Christina (DOE):  To cover transfer of $192,884,000 for VRS payment per Chapter 665.  $8,381,628 - $1,231,437.13 - .47
= $7,150,191.34 rounded to $7,150,191.
</t>
        </r>
        <r>
          <rPr>
            <sz val="9"/>
            <color indexed="81"/>
            <rFont val="Tahoma"/>
            <family val="2"/>
          </rPr>
          <t xml:space="preserve">
</t>
        </r>
      </text>
    </comment>
    <comment ref="CN37" authorId="5" shapeId="0">
      <text>
        <r>
          <rPr>
            <b/>
            <sz val="8"/>
            <color indexed="81"/>
            <rFont val="Tahoma"/>
            <family val="2"/>
          </rPr>
          <t>Snellings:  June figure reflects est. Tech Notes debt service for FY 2011</t>
        </r>
      </text>
    </comment>
    <comment ref="DK37" authorId="0" shapeId="0">
      <text>
        <r>
          <rPr>
            <b/>
            <sz val="8"/>
            <color indexed="81"/>
            <rFont val="Tahoma"/>
            <family val="2"/>
          </rPr>
          <t>Subsidy cost of issuance does not need to be included.</t>
        </r>
      </text>
    </comment>
    <comment ref="DR37" authorId="6" shapeId="0">
      <text>
        <r>
          <rPr>
            <b/>
            <sz val="8"/>
            <color indexed="81"/>
            <rFont val="Tahoma"/>
            <family val="2"/>
          </rPr>
          <t>Tina Snellings:</t>
        </r>
        <r>
          <rPr>
            <sz val="8"/>
            <color indexed="81"/>
            <rFont val="Tahoma"/>
            <family val="2"/>
          </rPr>
          <t xml:space="preserve">
Required Carry-forward Set Aside is for FY 2009 VPSA Debt Service.  See Latest-Summary of Literary Fund-Gov's Fall 2007 Budget Forecast.</t>
        </r>
      </text>
    </comment>
    <comment ref="DS37" authorId="6" shapeId="0">
      <text>
        <r>
          <rPr>
            <b/>
            <sz val="8"/>
            <color indexed="81"/>
            <rFont val="Tahoma"/>
            <family val="2"/>
          </rPr>
          <t>Brian Logwood:</t>
        </r>
        <r>
          <rPr>
            <sz val="8"/>
            <color indexed="81"/>
            <rFont val="Tahoma"/>
            <family val="2"/>
          </rPr>
          <t xml:space="preserve">
Required Carry-forward Set Aside is for FY 2008 VPSA Debt Service and VPSA Cost of Issuance.</t>
        </r>
      </text>
    </comment>
    <comment ref="DT37" authorId="6" shapeId="0">
      <text>
        <r>
          <rPr>
            <b/>
            <sz val="8"/>
            <color indexed="81"/>
            <rFont val="Tahoma"/>
            <family val="2"/>
          </rPr>
          <t>Brian Logwood:</t>
        </r>
        <r>
          <rPr>
            <sz val="8"/>
            <color indexed="81"/>
            <rFont val="Tahoma"/>
            <family val="2"/>
          </rPr>
          <t xml:space="preserve">
Required Carry-forward Set Aside is for FY 2008 VPSA Debt Service and VPSA Cost of Issuance.</t>
        </r>
      </text>
    </comment>
    <comment ref="DU37" authorId="6" shapeId="0">
      <text>
        <r>
          <rPr>
            <b/>
            <sz val="8"/>
            <color indexed="81"/>
            <rFont val="Tahoma"/>
            <family val="2"/>
          </rPr>
          <t>Brian Logwood:</t>
        </r>
        <r>
          <rPr>
            <sz val="8"/>
            <color indexed="81"/>
            <rFont val="Tahoma"/>
            <family val="2"/>
          </rPr>
          <t xml:space="preserve">
Required Carry-forward Set Aside is for FY 2008 VPSA Debt Service and VPSA Cost of Issuance.</t>
        </r>
      </text>
    </comment>
    <comment ref="DX37" authorId="6" shapeId="0">
      <text>
        <r>
          <rPr>
            <b/>
            <sz val="8"/>
            <color indexed="81"/>
            <rFont val="Tahoma"/>
            <family val="2"/>
          </rPr>
          <t>Brian Logwood:</t>
        </r>
        <r>
          <rPr>
            <sz val="8"/>
            <color indexed="81"/>
            <rFont val="Tahoma"/>
            <family val="2"/>
          </rPr>
          <t xml:space="preserve">
Required Carry-forward Set Aside is for FY 2008 VPSA Debt Service and VPSA Cost of Issuance.</t>
        </r>
      </text>
    </comment>
    <comment ref="K39" authorId="3" shapeId="0">
      <text>
        <r>
          <rPr>
            <b/>
            <sz val="9"/>
            <color indexed="81"/>
            <rFont val="Tahoma"/>
            <family val="2"/>
          </rPr>
          <t>kcd:</t>
        </r>
        <r>
          <rPr>
            <sz val="9"/>
            <color indexed="81"/>
            <rFont val="Tahoma"/>
            <family val="2"/>
          </rPr>
          <t xml:space="preserve">
No carryforward reflected since FY18 VRS cost shown on Line 10.</t>
        </r>
      </text>
    </comment>
    <comment ref="L39" authorId="3" shapeId="0">
      <text>
        <r>
          <rPr>
            <b/>
            <sz val="9"/>
            <color indexed="81"/>
            <rFont val="Tahoma"/>
            <family val="2"/>
          </rPr>
          <t>kcd:</t>
        </r>
        <r>
          <rPr>
            <sz val="9"/>
            <color indexed="81"/>
            <rFont val="Tahoma"/>
            <family val="2"/>
          </rPr>
          <t xml:space="preserve">
No carryforward reflected since FY18 VRS cost shown on Line 10.</t>
        </r>
      </text>
    </comment>
    <comment ref="M39" authorId="3" shapeId="0">
      <text>
        <r>
          <rPr>
            <b/>
            <sz val="9"/>
            <color indexed="81"/>
            <rFont val="Tahoma"/>
            <family val="2"/>
          </rPr>
          <t>kcd:</t>
        </r>
        <r>
          <rPr>
            <sz val="9"/>
            <color indexed="81"/>
            <rFont val="Tahoma"/>
            <family val="2"/>
          </rPr>
          <t xml:space="preserve">
No carryforward reflected since FY18 VRS cost shown on Line 10.</t>
        </r>
      </text>
    </comment>
  </commentList>
</comments>
</file>

<file path=xl/sharedStrings.xml><?xml version="1.0" encoding="utf-8"?>
<sst xmlns="http://schemas.openxmlformats.org/spreadsheetml/2006/main" count="124" uniqueCount="64">
  <si>
    <t>PRINCIPAL BALANCE</t>
  </si>
  <si>
    <t>Balance due on active projects (Attachment B)</t>
  </si>
  <si>
    <t>Reference</t>
  </si>
  <si>
    <t>Line</t>
  </si>
  <si>
    <t>Cash and investments maintained by State Treasurer</t>
  </si>
  <si>
    <t>Cash and investments in custody of Virginia Public School Authority (VPSA)</t>
  </si>
  <si>
    <t>Long-term loans in custody of Virginia Public School Authority (VPSA)</t>
  </si>
  <si>
    <t>Trigon Reserve</t>
  </si>
  <si>
    <t>Cash and investments maintained by State Treasurer (Line 1)</t>
  </si>
  <si>
    <t>FUNDS AVAILABLE FOR CURRENT COMMITMENTS AND NEW LOANS</t>
  </si>
  <si>
    <t>CURRENT COMMITMENTS AGAINST LITERARY FUND REVENUE</t>
  </si>
  <si>
    <t xml:space="preserve">    (Additional Funds Needed to Meet Commitments)</t>
  </si>
  <si>
    <t xml:space="preserve">     Balance Available to Fund New Projects Currently on Waiting List - </t>
  </si>
  <si>
    <t>STATEMENT OF THE FINANCIAL POSITION OF THE LITERARY FUND</t>
  </si>
  <si>
    <t>BOARD OF EDUCATION</t>
  </si>
  <si>
    <t>Increase/(Decrease)</t>
  </si>
  <si>
    <t>Running Total</t>
  </si>
  <si>
    <t>from appropriations act, pmts under "EquipTech Pmts/Debt Service"</t>
  </si>
  <si>
    <t>New Line Dan wants added based on language now in HB 30</t>
  </si>
  <si>
    <r>
      <t>June's checking on</t>
    </r>
    <r>
      <rPr>
        <sz val="10"/>
        <rFont val="Arial"/>
        <family val="2"/>
      </rPr>
      <t xml:space="preserve"> "Plug" number used to balance encumbrances with Treasury</t>
    </r>
  </si>
  <si>
    <t>Attachment A Total</t>
  </si>
  <si>
    <t xml:space="preserve">Trigon Reserve </t>
  </si>
  <si>
    <t>Other Encumbrances held by Treasurer of Virginia</t>
  </si>
  <si>
    <t xml:space="preserve"> </t>
  </si>
  <si>
    <t>Temporary loans received from local school boards (secured by promissory notes)</t>
  </si>
  <si>
    <t/>
  </si>
  <si>
    <t>chpt 847</t>
  </si>
  <si>
    <t>REMOVE - per Tracey Edwards there is no further activity in this category.</t>
  </si>
  <si>
    <t xml:space="preserve">     Balance Available to Fund New Projects Currently on Waiting List or </t>
  </si>
  <si>
    <t xml:space="preserve">                      Total Principal of Literary Fund</t>
  </si>
  <si>
    <t xml:space="preserve">                         Total Principal of Literary Fund</t>
  </si>
  <si>
    <t xml:space="preserve">                       Total of Literary Fund Commitments</t>
  </si>
  <si>
    <t xml:space="preserve">Interest rate subsidy </t>
  </si>
  <si>
    <t xml:space="preserve">Transfer for Teacher Retirement </t>
  </si>
  <si>
    <t xml:space="preserve">  </t>
  </si>
  <si>
    <t xml:space="preserve">                      Total Literary Fund Commitments</t>
  </si>
  <si>
    <t>Required Carry Forward Balance to Support Fiscal Year 2015 Literary Fund Transfer to</t>
  </si>
  <si>
    <t xml:space="preserve">VRS for Teacher Retirement Provided in Chapter 2, 2014 Special Session I </t>
  </si>
  <si>
    <t>Debt service on VPSA school security equipment notes</t>
  </si>
  <si>
    <t xml:space="preserve">Debt service on VPSA technology equipment notes </t>
  </si>
  <si>
    <t>`</t>
  </si>
  <si>
    <t xml:space="preserve">Required Carry Forward Balance to Support Fiscal Year 2015 Literary Fund Transfer to VRS for Teacher Retirement Provided in Chapter 665, 2015 Session </t>
  </si>
  <si>
    <t xml:space="preserve">Required Carry Forward Balance to Support Fiscal Year 2015 Literary Fund Transfer to VRS for Teacher Retirement Provided in Chapter 665, 2015 Acts of Assembly </t>
  </si>
  <si>
    <t>Transfer to VRS teacher retirement fund as a one-time payment toward 10-yr. deferred contribution balance</t>
  </si>
  <si>
    <t>One-time payment to VRS teacher retirement fund toward 10-yr. deferred contribution balance</t>
  </si>
  <si>
    <t>Required Carry Forward Balance to Support Fiscal Year 2016 Literary Fund Transfer</t>
  </si>
  <si>
    <t>Loan disbursements</t>
  </si>
  <si>
    <r>
      <t>Debt service on VPSA educational technology equipment notes</t>
    </r>
    <r>
      <rPr>
        <vertAlign val="superscript"/>
        <sz val="12"/>
        <rFont val="Times New Roman"/>
        <family val="1"/>
      </rPr>
      <t>1</t>
    </r>
    <r>
      <rPr>
        <sz val="12"/>
        <rFont val="Times New Roman"/>
        <family val="1"/>
      </rPr>
      <t xml:space="preserve">   </t>
    </r>
  </si>
  <si>
    <t>QUARTERLY STATEMENT OF THE FINANCIAL POSITION OF THE LITERARY FUND</t>
  </si>
  <si>
    <t>Required Carry Forward Balance to Support Fiscal Year 2018 Literary Fund Transfer for Teacher Retirement Provided in Chapter 836 (2017 Appropriation Act)</t>
  </si>
  <si>
    <t>Less commitments against Literary Fund Revenues (Line 12)</t>
  </si>
  <si>
    <t>Sept. 30 Double-Check</t>
  </si>
  <si>
    <t>Required Carry Forward Balance to Support Fiscal Year 2019 Literary Fund Transfer for Teacher Retirement Provided in Chapter 2 (2018 Appropriation Act)</t>
  </si>
  <si>
    <r>
      <rPr>
        <vertAlign val="superscript"/>
        <sz val="12"/>
        <rFont val="Times New Roman"/>
        <family val="1"/>
      </rPr>
      <t>1</t>
    </r>
    <r>
      <rPr>
        <sz val="12"/>
        <rFont val="Times New Roman"/>
        <family val="1"/>
      </rPr>
      <t>Debt service payments on VPSA Educational Technology Equipment Notes for fiscal year 2020 are paid in October 2019 and April 2020.</t>
    </r>
  </si>
  <si>
    <r>
      <rPr>
        <vertAlign val="superscript"/>
        <sz val="12"/>
        <rFont val="Times New Roman"/>
        <family val="1"/>
      </rPr>
      <t>2</t>
    </r>
    <r>
      <rPr>
        <sz val="12"/>
        <rFont val="Times New Roman"/>
        <family val="1"/>
      </rPr>
      <t>Chapter 854 budget provided $30,000,000 for Literary Fund loans in fiscal year 2019.</t>
    </r>
  </si>
  <si>
    <r>
      <t>Loan encumbrances</t>
    </r>
    <r>
      <rPr>
        <vertAlign val="superscript"/>
        <sz val="12"/>
        <rFont val="Times New Roman"/>
        <family val="1"/>
      </rPr>
      <t>2</t>
    </r>
  </si>
  <si>
    <r>
      <t>Interest rate subsidy</t>
    </r>
    <r>
      <rPr>
        <vertAlign val="superscript"/>
        <sz val="12"/>
        <rFont val="Times New Roman"/>
        <family val="1"/>
      </rPr>
      <t>3</t>
    </r>
    <r>
      <rPr>
        <sz val="12"/>
        <rFont val="Times New Roman"/>
        <family val="1"/>
      </rPr>
      <t xml:space="preserve"> </t>
    </r>
  </si>
  <si>
    <r>
      <rPr>
        <vertAlign val="superscript"/>
        <sz val="12"/>
        <rFont val="Times New Roman"/>
        <family val="1"/>
      </rPr>
      <t>3</t>
    </r>
    <r>
      <rPr>
        <sz val="12"/>
        <rFont val="Times New Roman"/>
        <family val="1"/>
      </rPr>
      <t>Chapter 854 budget provided $5,000,000 for an interest rate subsidy program in fiscal year 2019.</t>
    </r>
  </si>
  <si>
    <r>
      <t>Debt service on VPSA school security equipment notes</t>
    </r>
    <r>
      <rPr>
        <vertAlign val="superscript"/>
        <sz val="12"/>
        <rFont val="Times New Roman"/>
        <family val="1"/>
      </rPr>
      <t>4</t>
    </r>
    <r>
      <rPr>
        <sz val="12"/>
        <rFont val="Times New Roman"/>
        <family val="1"/>
      </rPr>
      <t xml:space="preserve"> </t>
    </r>
  </si>
  <si>
    <r>
      <t>Transfer for Teacher Retirement</t>
    </r>
    <r>
      <rPr>
        <vertAlign val="superscript"/>
        <sz val="12"/>
        <rFont val="Times New Roman"/>
        <family val="1"/>
      </rPr>
      <t>5</t>
    </r>
  </si>
  <si>
    <r>
      <rPr>
        <vertAlign val="superscript"/>
        <sz val="12"/>
        <rFont val="Times New Roman"/>
        <family val="1"/>
      </rPr>
      <t>4</t>
    </r>
    <r>
      <rPr>
        <sz val="12"/>
        <rFont val="Times New Roman"/>
        <family val="1"/>
      </rPr>
      <t>Debt service payments on VPSA School Security Equipment Notes for fiscal year 2020 are paid in October 2019 and April 2020.</t>
    </r>
  </si>
  <si>
    <r>
      <rPr>
        <vertAlign val="superscript"/>
        <sz val="12"/>
        <rFont val="Times New Roman"/>
        <family val="1"/>
      </rPr>
      <t>5</t>
    </r>
    <r>
      <rPr>
        <sz val="12"/>
        <rFont val="Times New Roman"/>
        <family val="1"/>
      </rPr>
      <t>Chapter 854 budget requires $136,349,570 to be transferred from the Literary Fund to pay Teacher Retirement in fiscal year 2020; payment made in June 2020.</t>
    </r>
  </si>
  <si>
    <t>July 2020</t>
  </si>
  <si>
    <t>(as of March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</si>
</sst>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
    <numFmt numFmtId="166" formatCode="[$-409]mmmm\ d\,\ yyyy;@"/>
    <numFmt numFmtId="167" formatCode="_(* #,##0.0_);_(* \(#,##0.0\);_(* &quot;-&quot;??_);_(@_)"/>
    <numFmt numFmtId="168" formatCode="_(* #,##0_);_(* \(#,##0\);_(* &quot;-&quot;??_);_(@_)"/>
    <numFmt numFmtId="169" formatCode="_(* #,##0.00_);_(* \(#,##0.00\);_(* &quot;-&quot;_);_(@_)"/>
  </numFmts>
  <fonts count="45" x14ac:knownFonts="1">
    <font>
      <sz val="12"/>
      <name val="Arial"/>
    </font>
    <font>
      <sz val="12"/>
      <name val="Arial"/>
      <family val="2"/>
    </font>
    <font>
      <sz val="10"/>
      <name val="Arial"/>
      <family val="2"/>
    </font>
    <font>
      <b/>
      <sz val="10"/>
      <name val="Arial"/>
      <family val="2"/>
    </font>
    <font>
      <sz val="12"/>
      <name val="Times New Roman"/>
      <family val="1"/>
    </font>
    <font>
      <u/>
      <sz val="12"/>
      <name val="Times New Roman"/>
      <family val="1"/>
    </font>
    <font>
      <b/>
      <sz val="12"/>
      <name val="Times New Roman"/>
      <family val="1"/>
    </font>
    <font>
      <vertAlign val="superscript"/>
      <sz val="12"/>
      <name val="Times New Roman"/>
      <family val="1"/>
    </font>
    <font>
      <b/>
      <u/>
      <sz val="12"/>
      <name val="Times New Roman"/>
      <family val="1"/>
    </font>
    <font>
      <u val="double"/>
      <sz val="12"/>
      <name val="Times New Roman"/>
      <family val="1"/>
    </font>
    <font>
      <sz val="11"/>
      <color indexed="81"/>
      <name val="Tahoma"/>
      <family val="2"/>
    </font>
    <font>
      <sz val="12"/>
      <color indexed="10"/>
      <name val="Times New Roman"/>
      <family val="1"/>
    </font>
    <font>
      <i/>
      <sz val="12"/>
      <color indexed="10"/>
      <name val="Times New Roman"/>
      <family val="1"/>
    </font>
    <font>
      <strike/>
      <sz val="10"/>
      <name val="Arial"/>
      <family val="2"/>
    </font>
    <font>
      <sz val="8"/>
      <color indexed="81"/>
      <name val="Tahoma"/>
      <family val="2"/>
    </font>
    <font>
      <b/>
      <sz val="8"/>
      <color indexed="81"/>
      <name val="Tahoma"/>
      <family val="2"/>
    </font>
    <font>
      <sz val="12"/>
      <color indexed="12"/>
      <name val="Times New Roman"/>
      <family val="1"/>
    </font>
    <font>
      <b/>
      <u val="doubleAccounting"/>
      <sz val="12"/>
      <name val="Times New Roman"/>
      <family val="1"/>
    </font>
    <font>
      <i/>
      <sz val="12"/>
      <name val="Times New Roman"/>
      <family val="1"/>
    </font>
    <font>
      <b/>
      <sz val="12"/>
      <color indexed="12"/>
      <name val="Times New Roman"/>
      <family val="1"/>
    </font>
    <font>
      <b/>
      <u val="double"/>
      <sz val="12"/>
      <name val="Times New Roman"/>
      <family val="1"/>
    </font>
    <font>
      <u val="double"/>
      <sz val="12"/>
      <color indexed="10"/>
      <name val="Times New Roman"/>
      <family val="1"/>
    </font>
    <font>
      <sz val="12"/>
      <color indexed="10"/>
      <name val="Arial"/>
      <family val="2"/>
    </font>
    <font>
      <sz val="10"/>
      <color indexed="10"/>
      <name val="Arial"/>
      <family val="2"/>
    </font>
    <font>
      <b/>
      <u/>
      <sz val="10"/>
      <name val="Times New Roman"/>
      <family val="1"/>
    </font>
    <font>
      <sz val="10"/>
      <name val="Times New Roman"/>
      <family val="1"/>
    </font>
    <font>
      <vertAlign val="superscript"/>
      <sz val="10"/>
      <name val="Times New Roman"/>
      <family val="1"/>
    </font>
    <font>
      <sz val="10"/>
      <color indexed="10"/>
      <name val="Times New Roman"/>
      <family val="1"/>
    </font>
    <font>
      <sz val="12"/>
      <color indexed="10"/>
      <name val="Times New Roman"/>
      <family val="1"/>
    </font>
    <font>
      <u val="double"/>
      <sz val="12"/>
      <color indexed="10"/>
      <name val="Times New Roman"/>
      <family val="1"/>
    </font>
    <font>
      <b/>
      <sz val="9"/>
      <color indexed="81"/>
      <name val="Tahoma"/>
      <family val="2"/>
    </font>
    <font>
      <sz val="12"/>
      <name val="Cambria"/>
      <family val="1"/>
    </font>
    <font>
      <sz val="9"/>
      <color indexed="81"/>
      <name val="Tahoma"/>
      <family val="2"/>
    </font>
    <font>
      <sz val="11"/>
      <name val="Times New Roman"/>
      <family val="1"/>
    </font>
    <font>
      <sz val="11"/>
      <name val="Cambria"/>
      <family val="1"/>
    </font>
    <font>
      <sz val="11"/>
      <name val="Arial"/>
      <family val="2"/>
    </font>
    <font>
      <vertAlign val="superscript"/>
      <sz val="14"/>
      <name val="Times New Roman"/>
      <family val="1"/>
    </font>
    <font>
      <sz val="10"/>
      <name val="Cambria"/>
      <family val="1"/>
    </font>
    <font>
      <sz val="12"/>
      <color rgb="FFFF0000"/>
      <name val="Times New Roman"/>
      <family val="1"/>
    </font>
    <font>
      <sz val="11"/>
      <color rgb="FF1F497D"/>
      <name val="Calibri"/>
      <family val="2"/>
    </font>
    <font>
      <u val="double"/>
      <sz val="12"/>
      <color rgb="FFFF0000"/>
      <name val="Times New Roman"/>
      <family val="1"/>
    </font>
    <font>
      <u/>
      <sz val="12"/>
      <color rgb="FFFF0000"/>
      <name val="Times New Roman"/>
      <family val="1"/>
    </font>
    <font>
      <b/>
      <sz val="14"/>
      <name val="Times New Roman"/>
      <family val="1"/>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CECFF"/>
        <bgColor indexed="64"/>
      </patternFill>
    </fill>
  </fills>
  <borders count="5">
    <border>
      <left/>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74">
    <xf numFmtId="0" fontId="0" fillId="0" borderId="0" xfId="0"/>
    <xf numFmtId="0" fontId="2" fillId="0" borderId="0" xfId="0" applyFont="1" applyAlignment="1">
      <alignment horizontal="center"/>
    </xf>
    <xf numFmtId="0" fontId="2" fillId="0" borderId="0" xfId="0" applyFont="1"/>
    <xf numFmtId="0" fontId="2" fillId="0" borderId="0" xfId="0" applyFont="1" applyAlignment="1" applyProtection="1">
      <alignment horizontal="left"/>
    </xf>
    <xf numFmtId="43" fontId="2" fillId="0" borderId="0" xfId="0" applyNumberFormat="1" applyFont="1"/>
    <xf numFmtId="5" fontId="2" fillId="0" borderId="0" xfId="0" applyNumberFormat="1" applyFont="1" applyProtection="1"/>
    <xf numFmtId="0" fontId="2" fillId="0" borderId="0" xfId="0" applyFont="1" applyProtection="1"/>
    <xf numFmtId="0" fontId="4" fillId="0" borderId="0" xfId="0" applyFont="1" applyAlignment="1">
      <alignment horizontal="center"/>
    </xf>
    <xf numFmtId="0" fontId="4" fillId="0" borderId="0" xfId="0" applyFont="1"/>
    <xf numFmtId="0" fontId="4" fillId="0" borderId="0" xfId="0" applyFont="1" applyAlignment="1" applyProtection="1">
      <alignment horizontal="left"/>
    </xf>
    <xf numFmtId="0" fontId="4" fillId="0" borderId="0" xfId="0" quotePrefix="1" applyFont="1" applyAlignment="1" applyProtection="1">
      <alignment horizontal="center"/>
    </xf>
    <xf numFmtId="0" fontId="5" fillId="0" borderId="0" xfId="0" applyFont="1" applyAlignment="1">
      <alignment horizontal="center"/>
    </xf>
    <xf numFmtId="0" fontId="6" fillId="0" borderId="0" xfId="0" applyFont="1" applyAlignment="1" applyProtection="1"/>
    <xf numFmtId="0" fontId="4" fillId="0" borderId="0" xfId="0" applyFont="1" applyAlignment="1" applyProtection="1">
      <alignment horizontal="fill"/>
    </xf>
    <xf numFmtId="43" fontId="4" fillId="0" borderId="0" xfId="1" applyFont="1" applyProtection="1"/>
    <xf numFmtId="43" fontId="4" fillId="0" borderId="0" xfId="1" applyFont="1"/>
    <xf numFmtId="43" fontId="4" fillId="0" borderId="0" xfId="1" applyFont="1" applyAlignment="1" applyProtection="1">
      <alignment horizontal="fill"/>
    </xf>
    <xf numFmtId="43" fontId="6" fillId="0" borderId="0" xfId="1" applyFont="1" applyProtection="1"/>
    <xf numFmtId="0" fontId="6" fillId="0" borderId="0" xfId="0" applyFont="1" applyAlignment="1" applyProtection="1">
      <alignment horizontal="right"/>
    </xf>
    <xf numFmtId="0" fontId="6" fillId="0" borderId="0" xfId="0" applyFont="1"/>
    <xf numFmtId="43" fontId="4" fillId="0" borderId="0" xfId="1" applyFont="1" applyBorder="1" applyProtection="1"/>
    <xf numFmtId="43" fontId="4" fillId="0" borderId="0" xfId="1" quotePrefix="1" applyFont="1" applyAlignment="1"/>
    <xf numFmtId="0" fontId="6" fillId="0" borderId="0" xfId="0" applyFont="1" applyAlignment="1">
      <alignment horizontal="left" wrapText="1"/>
    </xf>
    <xf numFmtId="0" fontId="6" fillId="0" borderId="0" xfId="0" applyFont="1" applyAlignment="1" applyProtection="1">
      <alignment horizontal="left"/>
    </xf>
    <xf numFmtId="0" fontId="8" fillId="0" borderId="0" xfId="0" applyFont="1" applyAlignment="1" applyProtection="1">
      <alignment horizontal="left"/>
    </xf>
    <xf numFmtId="0" fontId="7" fillId="0" borderId="0" xfId="0" quotePrefix="1" applyFont="1" applyAlignment="1" applyProtection="1">
      <alignment horizontal="left"/>
    </xf>
    <xf numFmtId="0" fontId="7" fillId="0" borderId="0" xfId="0" applyFont="1" applyAlignment="1" applyProtection="1">
      <alignment horizontal="left"/>
    </xf>
    <xf numFmtId="0" fontId="7" fillId="0" borderId="0" xfId="0" applyFont="1" applyAlignment="1">
      <alignment horizontal="left"/>
    </xf>
    <xf numFmtId="165" fontId="4" fillId="0" borderId="0" xfId="0" quotePrefix="1" applyNumberFormat="1" applyFont="1" applyAlignment="1">
      <alignment horizontal="center"/>
    </xf>
    <xf numFmtId="43" fontId="9" fillId="0" borderId="0" xfId="1" applyFont="1" applyBorder="1" applyProtection="1"/>
    <xf numFmtId="164" fontId="8" fillId="0" borderId="0" xfId="0" applyNumberFormat="1" applyFont="1" applyAlignment="1" applyProtection="1">
      <alignment horizontal="center"/>
    </xf>
    <xf numFmtId="43" fontId="9" fillId="0" borderId="0" xfId="1" applyFont="1" applyProtection="1"/>
    <xf numFmtId="0" fontId="3" fillId="0" borderId="0" xfId="0" applyFont="1"/>
    <xf numFmtId="42" fontId="2" fillId="0" borderId="0" xfId="0" applyNumberFormat="1" applyFont="1"/>
    <xf numFmtId="0" fontId="11" fillId="0" borderId="0" xfId="0" applyFont="1"/>
    <xf numFmtId="0" fontId="12" fillId="0" borderId="0" xfId="0" applyFont="1"/>
    <xf numFmtId="0" fontId="13" fillId="0" borderId="0" xfId="0" applyFont="1"/>
    <xf numFmtId="43" fontId="4" fillId="0" borderId="0" xfId="1" applyFont="1" applyFill="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xf>
    <xf numFmtId="0" fontId="2" fillId="0" borderId="0" xfId="0" applyFont="1" applyAlignment="1">
      <alignment vertical="center"/>
    </xf>
    <xf numFmtId="0" fontId="6" fillId="0" borderId="0" xfId="0" applyFont="1" applyAlignment="1" applyProtection="1">
      <alignment horizontal="center" vertical="center"/>
    </xf>
    <xf numFmtId="0" fontId="4" fillId="0" borderId="0" xfId="0" quotePrefix="1" applyFont="1" applyAlignment="1" applyProtection="1">
      <alignment horizontal="center" vertical="center"/>
    </xf>
    <xf numFmtId="0" fontId="8" fillId="0" borderId="0" xfId="0" applyFont="1" applyAlignment="1" applyProtection="1">
      <alignment horizontal="center" vertical="center"/>
    </xf>
    <xf numFmtId="165" fontId="4" fillId="0" borderId="0" xfId="0" quotePrefix="1" applyNumberFormat="1" applyFont="1" applyAlignment="1">
      <alignment horizontal="center" vertical="center"/>
    </xf>
    <xf numFmtId="0" fontId="2" fillId="0" borderId="0" xfId="0" applyFont="1" applyAlignment="1">
      <alignment horizontal="center" vertical="center"/>
    </xf>
    <xf numFmtId="165" fontId="4" fillId="0" borderId="0" xfId="0" applyNumberFormat="1" applyFont="1" applyAlignment="1">
      <alignment horizontal="center" vertical="center"/>
    </xf>
    <xf numFmtId="166" fontId="2" fillId="0" borderId="0" xfId="0" applyNumberFormat="1" applyFont="1" applyAlignment="1">
      <alignment vertical="center"/>
    </xf>
    <xf numFmtId="43" fontId="3" fillId="0" borderId="0" xfId="1" applyFont="1" applyAlignment="1" applyProtection="1">
      <alignment vertical="center"/>
    </xf>
    <xf numFmtId="0" fontId="6" fillId="0" borderId="0" xfId="0" applyFont="1" applyAlignment="1" applyProtection="1">
      <alignment horizontal="right" vertical="center"/>
    </xf>
    <xf numFmtId="0" fontId="6" fillId="0" borderId="0" xfId="0" applyFont="1" applyAlignment="1">
      <alignment vertical="center"/>
    </xf>
    <xf numFmtId="43" fontId="2" fillId="0" borderId="0" xfId="0" applyNumberFormat="1" applyFont="1" applyAlignment="1">
      <alignment vertical="center"/>
    </xf>
    <xf numFmtId="0" fontId="6" fillId="0" borderId="0" xfId="0" applyFont="1" applyAlignment="1" applyProtection="1">
      <alignment vertical="center"/>
    </xf>
    <xf numFmtId="0" fontId="6" fillId="0" borderId="0" xfId="0" applyFont="1" applyAlignment="1">
      <alignment horizontal="left" vertical="center" wrapText="1"/>
    </xf>
    <xf numFmtId="0" fontId="6" fillId="0" borderId="0" xfId="0" applyFont="1" applyAlignment="1" applyProtection="1">
      <alignment horizontal="left" vertical="center"/>
    </xf>
    <xf numFmtId="5" fontId="2" fillId="0" borderId="0" xfId="0" applyNumberFormat="1" applyFont="1" applyAlignment="1" applyProtection="1">
      <alignment vertical="center"/>
    </xf>
    <xf numFmtId="43" fontId="4" fillId="0" borderId="0" xfId="1" applyFont="1" applyFill="1" applyProtection="1"/>
    <xf numFmtId="43" fontId="11" fillId="2" borderId="1" xfId="1" applyFont="1" applyFill="1" applyBorder="1"/>
    <xf numFmtId="40" fontId="4" fillId="0" borderId="0" xfId="1" applyNumberFormat="1" applyFont="1" applyProtection="1"/>
    <xf numFmtId="40" fontId="9" fillId="0" borderId="0" xfId="1" applyNumberFormat="1" applyFont="1" applyBorder="1" applyProtection="1"/>
    <xf numFmtId="43" fontId="4" fillId="0" borderId="0" xfId="0" applyNumberFormat="1" applyFont="1" applyAlignment="1" applyProtection="1">
      <alignment horizontal="left"/>
    </xf>
    <xf numFmtId="43" fontId="16" fillId="0" borderId="0" xfId="1" applyFont="1" applyFill="1" applyProtection="1"/>
    <xf numFmtId="43" fontId="16" fillId="0" borderId="0" xfId="1" applyFont="1" applyProtection="1"/>
    <xf numFmtId="38" fontId="4" fillId="0" borderId="0" xfId="1" applyNumberFormat="1" applyFont="1" applyAlignment="1" applyProtection="1">
      <alignment vertical="center"/>
    </xf>
    <xf numFmtId="43" fontId="9" fillId="0" borderId="0" xfId="1" applyFont="1" applyFill="1" applyBorder="1" applyProtection="1"/>
    <xf numFmtId="43" fontId="4" fillId="0" borderId="0" xfId="1" applyFont="1" applyFill="1" applyAlignment="1" applyProtection="1">
      <alignment horizontal="fill"/>
    </xf>
    <xf numFmtId="43" fontId="6" fillId="0" borderId="0" xfId="1" applyFont="1" applyFill="1" applyProtection="1"/>
    <xf numFmtId="43" fontId="4" fillId="0" borderId="0" xfId="1" applyFont="1" applyFill="1" applyBorder="1" applyProtection="1"/>
    <xf numFmtId="43" fontId="4" fillId="0" borderId="0" xfId="1" quotePrefix="1" applyFont="1" applyFill="1" applyAlignment="1"/>
    <xf numFmtId="43" fontId="6" fillId="0" borderId="0" xfId="0" applyNumberFormat="1" applyFont="1"/>
    <xf numFmtId="0" fontId="4" fillId="0" borderId="0" xfId="0" applyFont="1" applyBorder="1" applyAlignment="1" applyProtection="1">
      <alignment horizontal="left"/>
    </xf>
    <xf numFmtId="43" fontId="11" fillId="0" borderId="0" xfId="1" applyFont="1" applyFill="1" applyBorder="1" applyProtection="1"/>
    <xf numFmtId="38" fontId="11" fillId="0" borderId="0" xfId="0" quotePrefix="1" applyNumberFormat="1" applyFont="1" applyAlignment="1" applyProtection="1">
      <alignment horizontal="center"/>
    </xf>
    <xf numFmtId="0" fontId="17" fillId="0" borderId="0" xfId="0" applyFont="1"/>
    <xf numFmtId="43" fontId="4" fillId="0" borderId="2" xfId="1" applyFont="1" applyFill="1" applyBorder="1" applyProtection="1"/>
    <xf numFmtId="43" fontId="4" fillId="0" borderId="2" xfId="0" applyNumberFormat="1" applyFont="1" applyBorder="1"/>
    <xf numFmtId="38" fontId="11" fillId="0" borderId="0" xfId="0" applyNumberFormat="1" applyFont="1" applyAlignment="1" applyProtection="1">
      <alignment horizontal="center"/>
    </xf>
    <xf numFmtId="0" fontId="18" fillId="0" borderId="0" xfId="0" applyFont="1"/>
    <xf numFmtId="43" fontId="4" fillId="0" borderId="3" xfId="1" applyFont="1" applyFill="1" applyBorder="1" applyProtection="1"/>
    <xf numFmtId="43" fontId="4" fillId="0" borderId="1" xfId="1" applyFont="1" applyFill="1" applyBorder="1"/>
    <xf numFmtId="43" fontId="11" fillId="0" borderId="0" xfId="1" applyFont="1" applyFill="1" applyBorder="1"/>
    <xf numFmtId="43" fontId="11" fillId="0" borderId="4" xfId="1" applyFont="1" applyFill="1" applyBorder="1" applyProtection="1"/>
    <xf numFmtId="0" fontId="2" fillId="0" borderId="0" xfId="0" applyFont="1" applyBorder="1"/>
    <xf numFmtId="43" fontId="19" fillId="0" borderId="2" xfId="0" applyNumberFormat="1" applyFont="1" applyBorder="1"/>
    <xf numFmtId="43" fontId="4" fillId="0" borderId="0" xfId="0" applyNumberFormat="1" applyFont="1"/>
    <xf numFmtId="43" fontId="6" fillId="0" borderId="0" xfId="0" applyNumberFormat="1" applyFont="1" applyAlignment="1" applyProtection="1">
      <alignment horizontal="right"/>
    </xf>
    <xf numFmtId="43" fontId="11" fillId="0" borderId="0" xfId="0" applyNumberFormat="1" applyFont="1"/>
    <xf numFmtId="43" fontId="6" fillId="0" borderId="0" xfId="0" applyNumberFormat="1" applyFont="1" applyAlignment="1" applyProtection="1"/>
    <xf numFmtId="43" fontId="6" fillId="0" borderId="0" xfId="0" applyNumberFormat="1" applyFont="1" applyAlignment="1" applyProtection="1">
      <alignment horizontal="left"/>
    </xf>
    <xf numFmtId="43" fontId="8" fillId="0" borderId="0" xfId="0" applyNumberFormat="1" applyFont="1" applyAlignment="1" applyProtection="1">
      <alignment horizontal="left"/>
    </xf>
    <xf numFmtId="43" fontId="7" fillId="0" borderId="0" xfId="0" quotePrefix="1" applyNumberFormat="1" applyFont="1" applyAlignment="1" applyProtection="1">
      <alignment horizontal="left"/>
    </xf>
    <xf numFmtId="43" fontId="20" fillId="0" borderId="0" xfId="0" applyNumberFormat="1" applyFont="1"/>
    <xf numFmtId="43" fontId="9" fillId="0" borderId="0" xfId="0" applyNumberFormat="1" applyFont="1" applyBorder="1" applyAlignment="1" applyProtection="1">
      <alignment horizontal="center"/>
    </xf>
    <xf numFmtId="44" fontId="9" fillId="0" borderId="0" xfId="0" applyNumberFormat="1" applyFont="1" applyBorder="1" applyAlignment="1" applyProtection="1"/>
    <xf numFmtId="43" fontId="9" fillId="0" borderId="0" xfId="1" applyNumberFormat="1" applyFont="1" applyFill="1" applyBorder="1" applyProtection="1"/>
    <xf numFmtId="43" fontId="4" fillId="0" borderId="0" xfId="0" quotePrefix="1" applyNumberFormat="1" applyFont="1"/>
    <xf numFmtId="43" fontId="4" fillId="0" borderId="0" xfId="0" applyNumberFormat="1" applyFont="1" applyFill="1" applyAlignment="1" applyProtection="1">
      <alignment horizontal="left"/>
    </xf>
    <xf numFmtId="43" fontId="4" fillId="0" borderId="0" xfId="0" applyNumberFormat="1" applyFont="1" applyBorder="1"/>
    <xf numFmtId="43" fontId="9" fillId="0" borderId="0" xfId="0" applyNumberFormat="1" applyFont="1" applyFill="1" applyBorder="1" applyAlignment="1" applyProtection="1">
      <alignment horizontal="right"/>
    </xf>
    <xf numFmtId="43" fontId="18" fillId="0" borderId="0" xfId="0" applyNumberFormat="1" applyFont="1"/>
    <xf numFmtId="43" fontId="9" fillId="0" borderId="0" xfId="0" applyNumberFormat="1" applyFont="1" applyBorder="1" applyAlignment="1" applyProtection="1">
      <alignment horizontal="left"/>
    </xf>
    <xf numFmtId="39" fontId="21" fillId="0" borderId="0" xfId="0" applyNumberFormat="1" applyFont="1" applyBorder="1" applyAlignment="1" applyProtection="1">
      <alignment horizontal="right"/>
    </xf>
    <xf numFmtId="43" fontId="12" fillId="0" borderId="0" xfId="0" applyNumberFormat="1" applyFont="1"/>
    <xf numFmtId="43" fontId="9" fillId="0" borderId="0" xfId="0" applyNumberFormat="1" applyFont="1" applyAlignment="1" applyProtection="1">
      <alignment horizontal="left"/>
    </xf>
    <xf numFmtId="39" fontId="21" fillId="0" borderId="0" xfId="0" applyNumberFormat="1" applyFont="1" applyAlignment="1" applyProtection="1">
      <alignment horizontal="right"/>
    </xf>
    <xf numFmtId="43" fontId="4" fillId="0" borderId="0" xfId="0" applyNumberFormat="1" applyFont="1" applyAlignment="1" applyProtection="1">
      <alignment horizontal="right"/>
    </xf>
    <xf numFmtId="43" fontId="9" fillId="0" borderId="0" xfId="0" applyNumberFormat="1" applyFont="1" applyBorder="1" applyAlignment="1" applyProtection="1">
      <alignment horizontal="right"/>
    </xf>
    <xf numFmtId="166" fontId="8" fillId="0" borderId="0" xfId="0" applyNumberFormat="1" applyFont="1" applyBorder="1" applyAlignment="1">
      <alignment horizontal="center"/>
    </xf>
    <xf numFmtId="43" fontId="4" fillId="0" borderId="0" xfId="0" quotePrefix="1" applyNumberFormat="1" applyFont="1" applyAlignment="1" applyProtection="1">
      <alignment horizontal="center"/>
    </xf>
    <xf numFmtId="43" fontId="7" fillId="0" borderId="0" xfId="0" applyNumberFormat="1" applyFont="1" applyAlignment="1" applyProtection="1">
      <alignment horizontal="left"/>
    </xf>
    <xf numFmtId="43" fontId="7" fillId="0" borderId="0" xfId="0" applyNumberFormat="1" applyFont="1" applyAlignment="1">
      <alignment horizontal="left"/>
    </xf>
    <xf numFmtId="43" fontId="2" fillId="0" borderId="0" xfId="0" applyNumberFormat="1" applyFont="1" applyAlignment="1" applyProtection="1">
      <alignment horizontal="left"/>
    </xf>
    <xf numFmtId="43" fontId="4" fillId="0" borderId="0" xfId="1" applyFont="1" applyFill="1" applyBorder="1"/>
    <xf numFmtId="0" fontId="4" fillId="0" borderId="0" xfId="0" applyFont="1" applyFill="1" applyBorder="1" applyAlignment="1" applyProtection="1">
      <alignment horizontal="left"/>
    </xf>
    <xf numFmtId="0" fontId="6" fillId="0" borderId="0" xfId="0" applyFont="1" applyBorder="1" applyAlignment="1" applyProtection="1">
      <alignment horizontal="right"/>
    </xf>
    <xf numFmtId="0" fontId="11" fillId="0" borderId="0" xfId="0" applyFont="1" applyAlignment="1">
      <alignment vertical="center"/>
    </xf>
    <xf numFmtId="0" fontId="23" fillId="0" borderId="0" xfId="0" applyFont="1" applyAlignment="1">
      <alignment vertical="center"/>
    </xf>
    <xf numFmtId="165" fontId="4" fillId="0" borderId="0" xfId="0" quotePrefix="1" applyNumberFormat="1" applyFont="1" applyFill="1" applyAlignment="1">
      <alignment horizontal="center" vertical="center"/>
    </xf>
    <xf numFmtId="0" fontId="4" fillId="0" borderId="0" xfId="0" applyFont="1" applyFill="1" applyAlignment="1">
      <alignment vertical="center"/>
    </xf>
    <xf numFmtId="165" fontId="4" fillId="0" borderId="0" xfId="0" applyNumberFormat="1" applyFont="1" applyFill="1" applyAlignment="1">
      <alignment horizontal="center" vertical="center"/>
    </xf>
    <xf numFmtId="0" fontId="24" fillId="0" borderId="0" xfId="0" applyFont="1" applyAlignment="1">
      <alignment horizontal="left" vertical="center"/>
    </xf>
    <xf numFmtId="0" fontId="25" fillId="0" borderId="0" xfId="0" applyFont="1" applyAlignment="1">
      <alignment vertical="center"/>
    </xf>
    <xf numFmtId="5" fontId="25" fillId="0" borderId="0" xfId="0" applyNumberFormat="1" applyFont="1" applyAlignment="1" applyProtection="1">
      <alignment vertical="center"/>
    </xf>
    <xf numFmtId="0" fontId="4" fillId="3" borderId="0" xfId="0" applyFont="1" applyFill="1" applyAlignment="1" applyProtection="1">
      <alignment horizontal="left"/>
    </xf>
    <xf numFmtId="0" fontId="25" fillId="0" borderId="0" xfId="0" applyFont="1" applyFill="1" applyAlignment="1">
      <alignment vertical="center"/>
    </xf>
    <xf numFmtId="5" fontId="25" fillId="0" borderId="0" xfId="0" applyNumberFormat="1" applyFont="1" applyFill="1" applyAlignment="1" applyProtection="1">
      <alignment vertical="center"/>
    </xf>
    <xf numFmtId="39" fontId="4" fillId="0" borderId="2" xfId="0" applyNumberFormat="1" applyFont="1" applyBorder="1"/>
    <xf numFmtId="0" fontId="8" fillId="0" borderId="0" xfId="0" applyFont="1"/>
    <xf numFmtId="38" fontId="4" fillId="0" borderId="0" xfId="0" applyNumberFormat="1" applyFont="1" applyAlignment="1" applyProtection="1">
      <alignment horizontal="right"/>
    </xf>
    <xf numFmtId="41" fontId="9" fillId="0" borderId="0" xfId="0" applyNumberFormat="1" applyFont="1" applyBorder="1" applyAlignment="1" applyProtection="1">
      <alignment horizontal="left"/>
    </xf>
    <xf numFmtId="41" fontId="9" fillId="0" borderId="0" xfId="0" applyNumberFormat="1" applyFont="1" applyAlignment="1" applyProtection="1">
      <alignment horizontal="left"/>
    </xf>
    <xf numFmtId="38" fontId="4" fillId="0" borderId="0" xfId="1" applyNumberFormat="1" applyFont="1" applyFill="1" applyAlignment="1" applyProtection="1">
      <alignment horizontal="right" vertical="center"/>
    </xf>
    <xf numFmtId="38" fontId="6" fillId="0" borderId="0" xfId="1" applyNumberFormat="1" applyFont="1" applyFill="1" applyAlignment="1" applyProtection="1">
      <alignment horizontal="right" vertical="center"/>
    </xf>
    <xf numFmtId="43" fontId="4" fillId="0" borderId="0" xfId="1" applyFont="1" applyAlignment="1" applyProtection="1">
      <alignment horizontal="left"/>
    </xf>
    <xf numFmtId="43" fontId="4" fillId="0" borderId="0" xfId="2" applyNumberFormat="1" applyFont="1" applyAlignment="1" applyProtection="1">
      <alignment horizontal="left"/>
    </xf>
    <xf numFmtId="41" fontId="4" fillId="0" borderId="0" xfId="1" applyNumberFormat="1" applyFont="1" applyFill="1" applyAlignment="1" applyProtection="1">
      <alignment horizontal="right" vertical="center"/>
    </xf>
    <xf numFmtId="0" fontId="27" fillId="0" borderId="0" xfId="0" applyFont="1" applyAlignment="1">
      <alignment vertical="center"/>
    </xf>
    <xf numFmtId="43" fontId="4" fillId="0" borderId="0" xfId="1" applyFont="1" applyAlignment="1" applyProtection="1">
      <alignment horizontal="right"/>
    </xf>
    <xf numFmtId="43" fontId="9" fillId="0" borderId="0" xfId="1" applyFont="1" applyBorder="1" applyAlignment="1" applyProtection="1">
      <alignment horizontal="left"/>
    </xf>
    <xf numFmtId="43" fontId="9" fillId="0" borderId="0" xfId="1" applyFont="1" applyAlignment="1" applyProtection="1">
      <alignment horizontal="left"/>
    </xf>
    <xf numFmtId="167" fontId="4" fillId="0" borderId="0" xfId="1" applyNumberFormat="1" applyFont="1" applyAlignment="1" applyProtection="1">
      <alignment horizontal="left"/>
    </xf>
    <xf numFmtId="43" fontId="4" fillId="0" borderId="2" xfId="0" applyNumberFormat="1" applyFont="1" applyFill="1" applyBorder="1" applyAlignment="1" applyProtection="1">
      <alignment horizontal="left"/>
    </xf>
    <xf numFmtId="43" fontId="9" fillId="0" borderId="0" xfId="1" applyNumberFormat="1" applyFont="1" applyFill="1" applyBorder="1" applyAlignment="1" applyProtection="1">
      <alignment horizontal="right"/>
    </xf>
    <xf numFmtId="40" fontId="4" fillId="0" borderId="0" xfId="0" applyNumberFormat="1" applyFont="1" applyAlignment="1" applyProtection="1">
      <alignment horizontal="right"/>
    </xf>
    <xf numFmtId="0" fontId="5" fillId="0" borderId="0" xfId="0" applyFont="1" applyBorder="1" applyAlignment="1" applyProtection="1">
      <alignment horizontal="right"/>
    </xf>
    <xf numFmtId="0" fontId="6" fillId="0" borderId="0" xfId="0" applyFont="1" applyBorder="1" applyAlignment="1" applyProtection="1">
      <alignment horizontal="left"/>
    </xf>
    <xf numFmtId="0" fontId="28" fillId="0" borderId="0" xfId="0" applyFont="1" applyAlignment="1" applyProtection="1">
      <alignment horizontal="left"/>
    </xf>
    <xf numFmtId="39" fontId="29" fillId="0" borderId="0" xfId="0" applyNumberFormat="1" applyFont="1" applyBorder="1" applyAlignment="1" applyProtection="1">
      <alignment horizontal="right"/>
    </xf>
    <xf numFmtId="39" fontId="29" fillId="0" borderId="0" xfId="0" applyNumberFormat="1" applyFont="1" applyAlignment="1" applyProtection="1">
      <alignment horizontal="right"/>
    </xf>
    <xf numFmtId="43" fontId="28" fillId="0" borderId="0" xfId="0" applyNumberFormat="1" applyFont="1" applyAlignment="1">
      <alignment horizontal="left" wrapText="1"/>
    </xf>
    <xf numFmtId="43" fontId="4" fillId="0" borderId="0" xfId="1" applyNumberFormat="1" applyFont="1" applyAlignment="1" applyProtection="1">
      <alignment horizontal="left"/>
    </xf>
    <xf numFmtId="0" fontId="4" fillId="4" borderId="0" xfId="0" applyFont="1" applyFill="1" applyAlignment="1" applyProtection="1">
      <alignment horizontal="left"/>
    </xf>
    <xf numFmtId="43" fontId="4" fillId="4" borderId="0" xfId="0" applyNumberFormat="1" applyFont="1" applyFill="1" applyAlignment="1" applyProtection="1">
      <alignment horizontal="left"/>
    </xf>
    <xf numFmtId="43" fontId="29" fillId="0" borderId="0" xfId="0" applyNumberFormat="1" applyFont="1" applyBorder="1" applyAlignment="1" applyProtection="1">
      <alignment horizontal="right"/>
    </xf>
    <xf numFmtId="43" fontId="28" fillId="0" borderId="0" xfId="0" applyNumberFormat="1" applyFont="1" applyAlignment="1" applyProtection="1">
      <alignment horizontal="left"/>
    </xf>
    <xf numFmtId="44" fontId="28" fillId="0" borderId="0" xfId="0" applyNumberFormat="1" applyFont="1" applyAlignment="1">
      <alignment horizontal="left" wrapText="1"/>
    </xf>
    <xf numFmtId="165" fontId="4" fillId="0" borderId="0" xfId="0" applyNumberFormat="1" applyFont="1" applyAlignment="1">
      <alignment horizontal="center"/>
    </xf>
    <xf numFmtId="0" fontId="4" fillId="0" borderId="0" xfId="0" applyFont="1" applyFill="1"/>
    <xf numFmtId="43" fontId="4" fillId="0" borderId="2" xfId="0" applyNumberFormat="1" applyFont="1" applyFill="1" applyBorder="1"/>
    <xf numFmtId="0" fontId="4" fillId="4" borderId="2" xfId="0" applyFont="1" applyFill="1" applyBorder="1"/>
    <xf numFmtId="0" fontId="6" fillId="0" borderId="0" xfId="0" applyFont="1" applyBorder="1"/>
    <xf numFmtId="0" fontId="4" fillId="0" borderId="0" xfId="0" applyFont="1" applyAlignment="1" applyProtection="1">
      <alignment horizontal="center" vertical="center"/>
    </xf>
    <xf numFmtId="0" fontId="4" fillId="4" borderId="0" xfId="0" applyFont="1" applyFill="1" applyAlignment="1">
      <alignment wrapText="1"/>
    </xf>
    <xf numFmtId="43" fontId="21" fillId="0" borderId="0" xfId="0" applyNumberFormat="1" applyFont="1" applyBorder="1" applyAlignment="1" applyProtection="1">
      <alignment horizontal="left"/>
    </xf>
    <xf numFmtId="43" fontId="4" fillId="0" borderId="0" xfId="0" applyNumberFormat="1" applyFont="1" applyAlignment="1">
      <alignment horizontal="left"/>
    </xf>
    <xf numFmtId="169" fontId="9" fillId="0" borderId="0" xfId="0" applyNumberFormat="1" applyFont="1" applyBorder="1" applyAlignment="1" applyProtection="1">
      <alignment horizontal="left"/>
    </xf>
    <xf numFmtId="169" fontId="9" fillId="0" borderId="0" xfId="0" applyNumberFormat="1" applyFont="1" applyAlignment="1" applyProtection="1">
      <alignment horizontal="left"/>
    </xf>
    <xf numFmtId="169" fontId="4" fillId="0" borderId="0" xfId="0" applyNumberFormat="1" applyFont="1" applyAlignment="1" applyProtection="1">
      <alignment horizontal="left"/>
    </xf>
    <xf numFmtId="0" fontId="4" fillId="0" borderId="0" xfId="0" applyNumberFormat="1" applyFont="1" applyAlignment="1" applyProtection="1">
      <alignment horizontal="left" vertical="center"/>
    </xf>
    <xf numFmtId="43" fontId="4" fillId="0" borderId="0" xfId="0" applyNumberFormat="1" applyFont="1" applyBorder="1" applyAlignment="1" applyProtection="1">
      <alignment horizontal="right"/>
    </xf>
    <xf numFmtId="43" fontId="38" fillId="0" borderId="0" xfId="0" applyNumberFormat="1" applyFont="1" applyAlignment="1">
      <alignment horizontal="left" wrapText="1"/>
    </xf>
    <xf numFmtId="0" fontId="6" fillId="0" borderId="0" xfId="0" applyFont="1" applyFill="1" applyAlignment="1" applyProtection="1">
      <alignment horizontal="center" vertical="center"/>
    </xf>
    <xf numFmtId="43" fontId="4" fillId="0" borderId="0" xfId="0" applyNumberFormat="1" applyFont="1" applyFill="1" applyAlignment="1">
      <alignment wrapText="1"/>
    </xf>
    <xf numFmtId="43" fontId="38" fillId="0" borderId="0" xfId="0" applyNumberFormat="1" applyFont="1" applyAlignment="1" applyProtection="1">
      <alignment horizontal="left"/>
    </xf>
    <xf numFmtId="0" fontId="38" fillId="0" borderId="0" xfId="0" applyFont="1" applyAlignment="1" applyProtection="1">
      <alignment horizontal="left"/>
    </xf>
    <xf numFmtId="43" fontId="4" fillId="0" borderId="0" xfId="0" quotePrefix="1" applyNumberFormat="1" applyFont="1" applyAlignment="1" applyProtection="1">
      <alignment horizontal="center" vertical="center"/>
    </xf>
    <xf numFmtId="0" fontId="8" fillId="0" borderId="0" xfId="0" applyFont="1" applyFill="1" applyBorder="1" applyAlignment="1" applyProtection="1">
      <alignment horizontal="left"/>
    </xf>
    <xf numFmtId="0" fontId="7" fillId="0" borderId="0" xfId="0" quotePrefix="1" applyFont="1" applyFill="1" applyBorder="1" applyAlignment="1" applyProtection="1">
      <alignment horizontal="left"/>
    </xf>
    <xf numFmtId="0" fontId="25" fillId="0" borderId="0" xfId="0" applyFont="1" applyFill="1" applyAlignment="1">
      <alignment horizontal="left" vertical="center" wrapText="1"/>
    </xf>
    <xf numFmtId="0" fontId="26" fillId="0" borderId="0" xfId="0" applyFont="1" applyFill="1" applyAlignment="1">
      <alignment horizontal="left" vertical="center"/>
    </xf>
    <xf numFmtId="0" fontId="31" fillId="0" borderId="0" xfId="0" applyFont="1" applyAlignment="1">
      <alignment horizontal="left" vertical="center"/>
    </xf>
    <xf numFmtId="0" fontId="0" fillId="0" borderId="0" xfId="0" applyAlignment="1">
      <alignment horizontal="left" vertical="center"/>
    </xf>
    <xf numFmtId="0" fontId="39" fillId="0" borderId="0" xfId="0" applyFont="1" applyAlignment="1">
      <alignment vertical="center"/>
    </xf>
    <xf numFmtId="43" fontId="4" fillId="0" borderId="0" xfId="1" applyFont="1" applyBorder="1" applyAlignment="1" applyProtection="1">
      <alignment horizontal="left"/>
    </xf>
    <xf numFmtId="38" fontId="7" fillId="0" borderId="0" xfId="0" quotePrefix="1" applyNumberFormat="1" applyFont="1" applyAlignment="1" applyProtection="1">
      <alignment horizontal="left"/>
    </xf>
    <xf numFmtId="43" fontId="9" fillId="0" borderId="0" xfId="1" applyNumberFormat="1" applyFont="1" applyAlignment="1" applyProtection="1">
      <alignment horizontal="left"/>
    </xf>
    <xf numFmtId="43" fontId="4" fillId="0" borderId="0" xfId="0" quotePrefix="1" applyNumberFormat="1" applyFont="1" applyAlignment="1" applyProtection="1">
      <alignment horizontal="left"/>
    </xf>
    <xf numFmtId="43" fontId="4" fillId="0" borderId="0" xfId="0" applyNumberFormat="1" applyFont="1" applyFill="1"/>
    <xf numFmtId="43" fontId="4" fillId="5" borderId="0" xfId="0" applyNumberFormat="1" applyFont="1" applyFill="1" applyAlignment="1">
      <alignment wrapText="1"/>
    </xf>
    <xf numFmtId="168" fontId="4" fillId="0" borderId="0" xfId="0" applyNumberFormat="1" applyFont="1" applyFill="1"/>
    <xf numFmtId="0" fontId="4" fillId="0" borderId="0" xfId="0" applyFont="1" applyFill="1" applyAlignment="1">
      <alignment wrapText="1"/>
    </xf>
    <xf numFmtId="0" fontId="4" fillId="0" borderId="0" xfId="0" applyFont="1" applyFill="1" applyAlignment="1" applyProtection="1">
      <alignment horizontal="left"/>
    </xf>
    <xf numFmtId="0" fontId="39" fillId="0" borderId="0" xfId="0" applyFont="1" applyFill="1" applyAlignment="1">
      <alignment vertical="center"/>
    </xf>
    <xf numFmtId="41" fontId="4" fillId="0" borderId="0" xfId="0" applyNumberFormat="1" applyFont="1" applyAlignment="1" applyProtection="1">
      <alignment horizontal="left"/>
    </xf>
    <xf numFmtId="43" fontId="4" fillId="0" borderId="0" xfId="0" applyNumberFormat="1" applyFont="1" applyAlignment="1" applyProtection="1">
      <alignment horizontal="left" vertical="center"/>
    </xf>
    <xf numFmtId="0" fontId="33" fillId="0" borderId="0" xfId="0" applyFont="1" applyAlignment="1">
      <alignment horizontal="left" vertical="center"/>
    </xf>
    <xf numFmtId="0" fontId="33" fillId="0" borderId="0" xfId="0" applyFont="1" applyAlignment="1">
      <alignment vertical="center"/>
    </xf>
    <xf numFmtId="0" fontId="34"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vertical="center"/>
    </xf>
    <xf numFmtId="168" fontId="4" fillId="0" borderId="0" xfId="0" applyNumberFormat="1" applyFont="1" applyFill="1" applyAlignment="1">
      <alignment wrapText="1"/>
    </xf>
    <xf numFmtId="43" fontId="40" fillId="0" borderId="0" xfId="0" applyNumberFormat="1" applyFont="1" applyBorder="1" applyAlignment="1" applyProtection="1">
      <alignment horizontal="left"/>
    </xf>
    <xf numFmtId="43" fontId="40" fillId="0" borderId="0" xfId="0" applyNumberFormat="1" applyFont="1" applyAlignment="1" applyProtection="1">
      <alignment horizontal="left"/>
    </xf>
    <xf numFmtId="43" fontId="5" fillId="0" borderId="0" xfId="0" applyNumberFormat="1" applyFont="1" applyAlignment="1" applyProtection="1">
      <alignment horizontal="right"/>
    </xf>
    <xf numFmtId="43" fontId="11" fillId="6" borderId="3" xfId="1" applyFont="1" applyFill="1" applyBorder="1" applyProtection="1"/>
    <xf numFmtId="43" fontId="9" fillId="0" borderId="0" xfId="0" applyNumberFormat="1" applyFont="1" applyAlignment="1" applyProtection="1">
      <alignment horizontal="left" vertical="center"/>
    </xf>
    <xf numFmtId="0" fontId="36" fillId="0" borderId="0" xfId="0" applyFont="1" applyAlignment="1">
      <alignment horizontal="left"/>
    </xf>
    <xf numFmtId="0" fontId="2" fillId="0" borderId="0" xfId="0" applyFont="1" applyAlignment="1" applyProtection="1">
      <alignment horizontal="right"/>
    </xf>
    <xf numFmtId="0" fontId="4" fillId="0" borderId="0" xfId="0" applyFont="1" applyAlignment="1">
      <alignment horizontal="left"/>
    </xf>
    <xf numFmtId="43" fontId="40" fillId="0" borderId="0" xfId="0" applyNumberFormat="1" applyFont="1" applyAlignment="1" applyProtection="1">
      <alignment horizontal="right"/>
    </xf>
    <xf numFmtId="41" fontId="4" fillId="0" borderId="2" xfId="0" applyNumberFormat="1" applyFont="1" applyBorder="1" applyAlignment="1" applyProtection="1">
      <alignment horizontal="left" vertical="center"/>
    </xf>
    <xf numFmtId="43" fontId="6" fillId="0" borderId="0" xfId="0" applyNumberFormat="1" applyFont="1" applyFill="1"/>
    <xf numFmtId="43" fontId="40" fillId="0" borderId="0" xfId="0" applyNumberFormat="1" applyFont="1" applyFill="1" applyAlignment="1" applyProtection="1">
      <alignment horizontal="left"/>
    </xf>
    <xf numFmtId="43" fontId="41" fillId="0" borderId="0" xfId="0" applyNumberFormat="1" applyFont="1" applyFill="1" applyAlignment="1" applyProtection="1">
      <alignment horizontal="left"/>
    </xf>
    <xf numFmtId="168" fontId="6" fillId="0" borderId="0" xfId="0" applyNumberFormat="1" applyFont="1" applyAlignment="1" applyProtection="1">
      <alignment horizontal="left" vertical="center"/>
    </xf>
    <xf numFmtId="0" fontId="33" fillId="0" borderId="0" xfId="0" applyFont="1" applyAlignment="1">
      <alignment horizontal="left" vertical="center" wrapText="1"/>
    </xf>
    <xf numFmtId="169" fontId="4" fillId="0" borderId="0" xfId="0" applyNumberFormat="1" applyFont="1" applyAlignment="1">
      <alignment horizontal="left"/>
    </xf>
    <xf numFmtId="43" fontId="38" fillId="0" borderId="0" xfId="1" applyNumberFormat="1" applyFont="1" applyAlignment="1">
      <alignment horizontal="left" wrapText="1"/>
    </xf>
    <xf numFmtId="43" fontId="4" fillId="0" borderId="0" xfId="0" applyNumberFormat="1" applyFont="1" applyBorder="1" applyAlignment="1" applyProtection="1">
      <alignment horizontal="left" vertical="center"/>
    </xf>
    <xf numFmtId="43" fontId="4" fillId="7" borderId="0" xfId="0" applyNumberFormat="1" applyFont="1" applyFill="1" applyAlignment="1" applyProtection="1">
      <alignment horizontal="left" vertical="center"/>
    </xf>
    <xf numFmtId="4" fontId="4" fillId="0" borderId="0" xfId="0" applyNumberFormat="1" applyFont="1" applyFill="1" applyBorder="1" applyAlignment="1">
      <alignment wrapText="1"/>
    </xf>
    <xf numFmtId="0" fontId="9" fillId="0" borderId="0" xfId="0" applyFont="1" applyAlignment="1" applyProtection="1">
      <alignment horizontal="left"/>
    </xf>
    <xf numFmtId="0" fontId="37" fillId="0" borderId="0" xfId="0" applyFont="1" applyAlignment="1">
      <alignment vertical="center"/>
    </xf>
    <xf numFmtId="43" fontId="36" fillId="0" borderId="0" xfId="0" applyNumberFormat="1" applyFont="1" applyAlignment="1">
      <alignment horizontal="left"/>
    </xf>
    <xf numFmtId="41" fontId="6" fillId="0" borderId="0" xfId="1" applyNumberFormat="1" applyFont="1" applyFill="1" applyAlignment="1" applyProtection="1">
      <alignment horizontal="right" vertical="center"/>
    </xf>
    <xf numFmtId="0" fontId="4" fillId="0" borderId="0" xfId="0" applyFont="1" applyBorder="1"/>
    <xf numFmtId="0" fontId="4" fillId="4" borderId="0" xfId="0" applyFont="1" applyFill="1" applyBorder="1" applyAlignment="1" applyProtection="1">
      <alignment horizontal="left"/>
    </xf>
    <xf numFmtId="0" fontId="4" fillId="3" borderId="0" xfId="0" applyFont="1" applyFill="1" applyBorder="1" applyAlignment="1" applyProtection="1">
      <alignment horizontal="left"/>
    </xf>
    <xf numFmtId="0" fontId="4" fillId="0" borderId="0" xfId="0" applyFont="1" applyBorder="1" applyAlignment="1" applyProtection="1">
      <alignment horizontal="left" vertical="center"/>
    </xf>
    <xf numFmtId="0" fontId="11" fillId="0" borderId="0" xfId="0" applyFont="1" applyBorder="1"/>
    <xf numFmtId="43" fontId="4" fillId="0" borderId="0" xfId="0" applyNumberFormat="1" applyFont="1" applyBorder="1" applyAlignment="1" applyProtection="1">
      <alignment horizontal="left"/>
    </xf>
    <xf numFmtId="43" fontId="4" fillId="0" borderId="0" xfId="1" quotePrefix="1" applyFont="1" applyAlignment="1"/>
    <xf numFmtId="43" fontId="4" fillId="0" borderId="0" xfId="1" applyFont="1" applyFill="1" applyBorder="1" applyProtection="1"/>
    <xf numFmtId="41" fontId="4" fillId="0" borderId="0" xfId="1" applyNumberFormat="1" applyFont="1" applyFill="1" applyAlignment="1" applyProtection="1">
      <alignment horizontal="right" vertical="center"/>
    </xf>
    <xf numFmtId="43" fontId="4" fillId="0" borderId="0" xfId="3" applyNumberFormat="1" applyFont="1" applyAlignment="1">
      <alignment horizontal="left"/>
    </xf>
    <xf numFmtId="43" fontId="4" fillId="0" borderId="0" xfId="1" applyFont="1" applyBorder="1" applyAlignment="1" applyProtection="1">
      <alignment horizontal="left"/>
    </xf>
    <xf numFmtId="0" fontId="4" fillId="0" borderId="0" xfId="0" applyFont="1" applyBorder="1" applyAlignment="1" applyProtection="1">
      <alignment horizontal="left" wrapText="1"/>
    </xf>
    <xf numFmtId="41" fontId="4" fillId="0" borderId="0" xfId="0" applyNumberFormat="1" applyFont="1" applyBorder="1" applyAlignment="1" applyProtection="1">
      <alignment horizontal="left" vertical="center"/>
    </xf>
    <xf numFmtId="42" fontId="4" fillId="0" borderId="0" xfId="0" applyNumberFormat="1" applyFont="1" applyAlignment="1" applyProtection="1">
      <alignment horizontal="left"/>
    </xf>
    <xf numFmtId="41" fontId="4" fillId="0" borderId="0" xfId="0" applyNumberFormat="1" applyFont="1" applyFill="1" applyAlignment="1" applyProtection="1">
      <alignment horizontal="left"/>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6" fillId="0" borderId="0" xfId="0" applyFont="1" applyAlignment="1">
      <alignment horizontal="center" vertical="center"/>
    </xf>
    <xf numFmtId="0" fontId="8" fillId="0" borderId="0" xfId="0" applyFont="1" applyAlignment="1">
      <alignment horizontal="center" vertical="center"/>
    </xf>
    <xf numFmtId="0" fontId="4" fillId="0" borderId="0" xfId="0" applyFont="1" applyFill="1" applyAlignment="1">
      <alignment horizontal="left" vertical="center" wrapText="1"/>
    </xf>
    <xf numFmtId="166" fontId="8" fillId="0" borderId="0" xfId="0" applyNumberFormat="1" applyFont="1" applyFill="1" applyAlignment="1">
      <alignment horizontal="center" vertical="center"/>
    </xf>
    <xf numFmtId="41" fontId="4" fillId="0" borderId="0" xfId="0" applyNumberFormat="1" applyFont="1" applyFill="1" applyAlignment="1" applyProtection="1">
      <alignment horizontal="left" vertical="center"/>
    </xf>
    <xf numFmtId="0" fontId="4" fillId="0" borderId="0" xfId="0" quotePrefix="1" applyFont="1" applyFill="1" applyAlignment="1" applyProtection="1">
      <alignment horizontal="center" vertical="center"/>
    </xf>
    <xf numFmtId="41" fontId="4" fillId="0" borderId="2" xfId="0" applyNumberFormat="1" applyFont="1" applyFill="1" applyBorder="1" applyAlignment="1" applyProtection="1">
      <alignment horizontal="left" vertical="center"/>
    </xf>
    <xf numFmtId="168" fontId="6" fillId="0" borderId="0" xfId="0" applyNumberFormat="1" applyFont="1" applyFill="1" applyAlignment="1">
      <alignment vertical="center"/>
    </xf>
    <xf numFmtId="0" fontId="6" fillId="0" borderId="0" xfId="0" applyFont="1" applyFill="1" applyAlignment="1" applyProtection="1">
      <alignment horizontal="right" vertical="center"/>
    </xf>
    <xf numFmtId="0" fontId="6" fillId="0" borderId="0" xfId="0" applyFont="1" applyFill="1" applyAlignment="1">
      <alignment vertical="center"/>
    </xf>
    <xf numFmtId="0" fontId="4" fillId="0" borderId="0" xfId="0" applyFont="1" applyFill="1" applyAlignment="1" applyProtection="1">
      <alignment horizontal="center" vertical="center"/>
    </xf>
    <xf numFmtId="168" fontId="4" fillId="0" borderId="0" xfId="0" quotePrefix="1" applyNumberFormat="1" applyFont="1" applyFill="1" applyAlignment="1" applyProtection="1">
      <alignment horizontal="center" vertical="center"/>
    </xf>
    <xf numFmtId="168" fontId="4" fillId="0" borderId="0" xfId="0" applyNumberFormat="1" applyFont="1" applyFill="1" applyAlignment="1" applyProtection="1">
      <alignment horizontal="left" vertical="center"/>
    </xf>
    <xf numFmtId="41" fontId="4" fillId="0" borderId="0" xfId="0" applyNumberFormat="1" applyFont="1" applyFill="1" applyBorder="1" applyAlignment="1" applyProtection="1">
      <alignment horizontal="left" vertical="center"/>
    </xf>
    <xf numFmtId="168" fontId="4" fillId="0" borderId="0" xfId="0" applyNumberFormat="1" applyFont="1" applyFill="1" applyAlignment="1">
      <alignment vertical="center"/>
    </xf>
    <xf numFmtId="168" fontId="4" fillId="0" borderId="2" xfId="0" applyNumberFormat="1" applyFont="1" applyFill="1" applyBorder="1" applyAlignment="1">
      <alignment vertical="center"/>
    </xf>
    <xf numFmtId="41" fontId="6" fillId="0" borderId="0" xfId="0" applyNumberFormat="1" applyFont="1" applyFill="1" applyAlignment="1">
      <alignment vertical="center"/>
    </xf>
    <xf numFmtId="168" fontId="6" fillId="0" borderId="0" xfId="0" applyNumberFormat="1" applyFont="1" applyFill="1" applyAlignment="1" applyProtection="1">
      <alignment vertical="center"/>
    </xf>
    <xf numFmtId="168" fontId="6" fillId="0" borderId="0" xfId="0" applyNumberFormat="1" applyFont="1" applyFill="1" applyAlignment="1">
      <alignment horizontal="left" vertical="center" wrapText="1"/>
    </xf>
    <xf numFmtId="0" fontId="33" fillId="0" borderId="0" xfId="0" applyFont="1" applyFill="1" applyAlignment="1">
      <alignment horizontal="left" vertical="center"/>
    </xf>
    <xf numFmtId="17" fontId="6" fillId="0" borderId="0" xfId="0" quotePrefix="1" applyNumberFormat="1" applyFont="1" applyFill="1" applyAlignment="1">
      <alignment horizontal="left" vertical="center"/>
    </xf>
    <xf numFmtId="0" fontId="4" fillId="0" borderId="0" xfId="0" applyFont="1" applyFill="1" applyAlignment="1">
      <alignment horizontal="left" vertical="center" wrapText="1"/>
    </xf>
    <xf numFmtId="43" fontId="4" fillId="0" borderId="0" xfId="1" applyFont="1" applyFill="1" applyBorder="1" applyAlignment="1" applyProtection="1">
      <alignment horizontal="left"/>
    </xf>
    <xf numFmtId="0" fontId="4" fillId="0" borderId="0" xfId="0" applyFont="1" applyFill="1" applyBorder="1"/>
    <xf numFmtId="43" fontId="4" fillId="0" borderId="0" xfId="0" applyNumberFormat="1" applyFont="1" applyFill="1" applyBorder="1"/>
    <xf numFmtId="0" fontId="42" fillId="0" borderId="0" xfId="0" applyFont="1" applyAlignment="1" applyProtection="1">
      <alignment horizontal="center" vertical="center"/>
    </xf>
    <xf numFmtId="0" fontId="42" fillId="0" borderId="0" xfId="0" applyFont="1" applyFill="1" applyAlignment="1" applyProtection="1">
      <alignment horizontal="center" vertical="center"/>
    </xf>
    <xf numFmtId="0" fontId="4" fillId="0" borderId="0" xfId="0" applyFont="1" applyFill="1" applyAlignment="1">
      <alignment horizontal="left" vertical="center" wrapText="1"/>
    </xf>
    <xf numFmtId="43" fontId="11" fillId="0" borderId="0" xfId="0" applyNumberFormat="1" applyFont="1" applyAlignment="1" applyProtection="1">
      <alignment horizontal="left"/>
    </xf>
    <xf numFmtId="0" fontId="22" fillId="0" borderId="0" xfId="0" applyFont="1" applyAlignment="1">
      <alignment horizontal="left"/>
    </xf>
  </cellXfs>
  <cellStyles count="4">
    <cellStyle name="Comma" xfId="1" builtinId="3"/>
    <cellStyle name="Currency" xfId="2" builtin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externalLink" Target="externalLinks/externalLink121.xml"/><Relationship Id="rId128" Type="http://schemas.openxmlformats.org/officeDocument/2006/relationships/styles" Target="styles.xml"/><Relationship Id="rId5" Type="http://schemas.openxmlformats.org/officeDocument/2006/relationships/externalLink" Target="externalLinks/externalLink3.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126" Type="http://schemas.openxmlformats.org/officeDocument/2006/relationships/externalLink" Target="externalLinks/externalLink124.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externalLink" Target="externalLinks/externalLink11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16" Type="http://schemas.openxmlformats.org/officeDocument/2006/relationships/externalLink" Target="externalLinks/externalLink114.xml"/><Relationship Id="rId124" Type="http://schemas.openxmlformats.org/officeDocument/2006/relationships/externalLink" Target="externalLinks/externalLink122.xml"/><Relationship Id="rId129" Type="http://schemas.openxmlformats.org/officeDocument/2006/relationships/sharedStrings" Target="sharedStrings.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127" Type="http://schemas.openxmlformats.org/officeDocument/2006/relationships/theme" Target="theme/theme1.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externalLink" Target="externalLinks/externalLink120.xml"/><Relationship Id="rId13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125" Type="http://schemas.openxmlformats.org/officeDocument/2006/relationships/externalLink" Target="externalLinks/externalLink123.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20%20BOE%20Literary%20Fund%20Agendas/2020%20-%20July%20Board%20Meeting/LIT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8%20BOE%20Literary%20Fund%20Agendas/2018%20-%20January%20Board%20Meeting/Treasury%20Backups/LIT2018.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07%20BOE%20Literary%20Fund%20Agendas/2007%20-%20Oct%20Board%20Meeting/BA%20-%20Financial%20Report%20(Att%20B%20&amp;%20C%20to%20Agenda%20A)%20-%20Active%20Projects.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Documents%20and%20Settings/doe/Desktop/BA%20-%20Financial%20Report%20(Att%20B%20&amp;%20C%20to%20Agenda%20A)%20-%20Active%20Project.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07%20BOE%20Literary%20Fund%20Agendas/2007%20-%20April%20Board%20Meeting/BA%20-%20Financial%20Report%20(Att%20B%20&amp;%20C%20to%20Agenda%20A)%20-%20Active%20Projects.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1%20BOE%20Literary%20Fund%20Agendas/2011%20-%20April%20Board%20Meeting/BA%20-%20Financial%20Report%20(Att%20B%20&amp;%20C%20to%20Agenda%20A)%20-%20Sept%202006%20-%20Active%20Projects.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1%20BOE%20Literary%20Fund%20Agendas/2011%20-%20April%20Board%20Meeting/BA%20-%20Financial%20Report%20Att%20B%20-%20June%202006%20-%20Active%20Projects.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BUDGET/Literary%20Fund/Databases/Active%20Project%20List%20(as%20of%2012-31-05).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CAPITAL%20PROGRAMS/VPSA%20Debt%20Financing/VPSA%20Technology%20Notes/2010-12/Summary%20of%20Notes%20Debt%20Service%20By%20Issue%2011-07-201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CAPITAL%20PROGRAMS/Literary%20Fund/Literary%20Fund%20Forecast/LATEST%20-%20Gov's%202010%20Budget%20Forecast/Latest%20-%20Summary%20of%20Literary%20Fund%20-%20Gov's.%20Fall%202010%20Budget%20Forecast.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BUDGET/2006-2008%20Budget/$%20Direct%20Aid%20Budget%20Spreadsheet/Latest%20-%20DABS%20for%202007%20GA%20Session%20(HB%201650%20SB%20750%20base).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7%20BOE%20Literary%20Fund%20Agendas/2017%20-%20Oct.%20Board%20Meeting/Treasury%20Reports/June%20Reports/LIT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7%20BOE%20Literary%20Fund%20Agendas/2017%20-%20Oct.%20Board%20Meeting/June%20Reports/LIT2017.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7%20BOE%20Literary%20Fund%20Agendas/2017%20-%20July%20Board%20Meeting/Board%20Agenda%20Item/Financial%20Report%20(Att.%20A%20to%20Agenda%20A)-Financial%20Statement-Cathy's-July%202017.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Users/aqd29003/AppData/Local/Microsoft/Windows/Temporary%20Internet%20Files/Content.Outlook/GSLV612M/LIT2016.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CAPITAL%20PROGRAMS/Literary%20Fund/Literary%20Fund%20Forecast/Latest%20-%20Summary%20of%20Literary%20Fund%20-%20Gov's.%20Fall%202007%20Budget%20Forecast.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BUDGET/Literary%20Fund/Subsidy%20Files/Subsidy%20Loans.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DIRECT%20AID/2018-2020%20Budget/$%20Direct%20Aid%20Budget%20Spreadsheet/Final%202019%20Payment%20(June%202019)/Step%203%20-%20Special%20Ed%20Regional%20Tuition%20Update%20for%20Final%202019%20Payment%20-%20Final%20GA%20Budget%20-%20Chapter%20854%20BASE%20DABS.xlsm"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DIRECT%20AID/2018-2020%20Budget/$%20Direct%20Aid%20Budget%20Spreadsheet/Final%20GA%20Budget%20CH2%20June%202018/Final%20GA%20Budget%20Chapter%202%20-%20June%202018.xlsm"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DIRECT%20AID/2016-2018%20Budget/Governor's%20Budgets/Governor's%20Budget%202017/DABS%20Increments/Step%2020%20-%20Split%20Funding%20Cleanup.xlsm"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CAPITAL%20PROGRAMS/Literary%20Fund/Literary%20Fund%20Forecast/LATEST%20GA%202015%20Forecast/LATEST%20Conference%20Lit%20Fund%20-%20GA%202015%20-%2002-21-2015.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CAPITAL%20PROGRAMS/Literary%20Fund/Literary%20Fund%20Forecast/LATEST%20-%20Gov's%202011%20Budget%20Forecast/Latest%20-%20Summary%20of%20Literary%20Fund%20-%20Gov's.%20Fall%202011%20Budget%20Forecast.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CAPITAL%20PROGRAMS/VPSA%20Debt%20Financing/VPSA%20Technology%20Notes/2010-12/Latest%20-%20Estimated%20Debt%20Service%20Series%20X%20XI%20Notes%2009-28-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7%20BOE%20Literary%20Fund%20Agendas/2017%20-%20July%20Board%20Meeting/Treasury%20Reports/March%20Reports/LIT2017.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CAPITAL%20PROGRAMS/VPSA%20Debt%20Financing/VPSA%20Technology%20Notes/Latest%20-%20Debt%20Service%20Series%20X%20XI%20Notes%2011-12-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CAPITAL%20PROGRAMS/Literary%20Fund/Literary%20Fund%20Forecast/Latest%20-%20Summary%20of%20Literary%20Fund%20-%20Gov's.%20Fall%202009%20Budget%20Forecast.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CAPITAL%20PROGRAMS/Literary%20Fund/Literary%20Fund%20Forecast/Latest%20-%20Summary%20of%20Literary%20Fund%20-%20Gov's.%20Fall%202008%20Budget%20Forecast.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BUDGET/Literary%20Fund/Literary%20Fund%20Forecast/Summary%20of%20Literary%20Fund%20-%20Gov's%202006%20Budget%20Forecast.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BUDGET/Literary%20Fund/Literary%20Fund%20Forecast/Summary%20of%20Literary%20Fund%20-%20Chpt%203%20Foreca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uu29954/AppData/Local/Microsoft/Windows/Temporary%20Internet%20Files/Content.Outlook/6NSPRJZ0/Treasury%20Backups/Dec.%20Reports/LIT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7/10-31-16%20and%2011-30-16%20Reports/LIT20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6/06-30-16%20Reports/LIT2016%2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6/03-31-16%20Reports/Copy%20of%20LIT20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6/12-31-15%20Reports/LIT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6/09-30-15%20Reports/LIT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5/06-30-15%20Reports/Final%20LIT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20%20BOE%20Literary%20Fund%20Agendas/2020%20-%20April%20Board%20Meeting/LIT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5/03-31-15%20Reports/LIT2015%20(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5/12-31-14%20Reports/LIT20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5/09-30-14%20Reports/LIT2015_Sep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4/06-30-14%20Reports/LIT2014_FIN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4/06-30-14%20Reports/LIT201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4/03-31-14%20Reports/LIT201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4/12-31-13%20Reports/LIT201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4/09-30-13%20Reports/LIT201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3/6-30-13%20Reports/LIT201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3/3-3113%20Reports/LIT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9%20BOE%20Literary%20Fund%20Agendas/2019%20-%20Oct.%20Board%20Meeting/LIT20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3/12-31-12%20Reports/LIT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3/9-30-12%20Reports/LIT201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2/6-30-12%20Reports/LIT2012_Fin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2/4-30-12%20Reports/LIT201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2/12-31-11%20Reports/LIT20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2/9-30-11%20Reports/LIT20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1/6-30-11%20Reports/LIT201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1/3-31-11%20Reports/LIT201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1/12-31-10%20Reports/LIT201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1/9-30-10%20Reports/LIT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9%20BOE%20Literary%20Fund%20Agendas/2019%20-%20July%20Board%20Meeting/LIT201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0/6-30-10%20Reports/LIT2010_Fin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0/3-31-10%20Reports/LIT201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0/1-31-10%20Reports/LIT201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0/12-31-09%20Reports/LIT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0/9-30-09%20Reports/LIT201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0/8-31-09%20Reports/LIT201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CAPITAL%20PROGRAMS/Literary%20Fund/Treasury%20Reports/FY%202010/7-31-09%20Reports/LIT20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9/6-30-09%20Reports/LIT2009FINAL_REVISED.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9/3-31-09%20Reports/LIT20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9/12-31-08%20Reports/LIT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9%20BOE%20Literary%20Fund%20Agendas/2019%20-%20April%20Board%20Meeting/Quarterly%20Report%20on%20LF/LIT2019.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9/9-30-08%20Reports/LIT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9/8-31-08%20Reports/LIT200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8/6-30-08%20Reports/LIT2008%20FIN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8/3-31-08%20Reports/LIT2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8/2-29-08%20Reports/LIT2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8/1-31-08%20Reports/LIT2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8/12-31-07%20Reports/LIT20081%20(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8/10-31-07%20Reports/LIT20081%20(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8/9-30-07%20Reports/LIT20081%2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8/8-31-07%20Reports/LIT2008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9%20BOE%20Literary%20Fund%20Agendas/2019%20-%20January%20Board%20Meeting/Treasury%20Backups/LIT2019.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8/7-31-07%20Reports/LIT2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7/6-30-2007%20Reports/LIT20071%20-%20Final%20Audited.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7/3-30-2007%20Reports/LIT2007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CAPITAL%20PROGRAMS/Literary%20Fund/Treasury%20Reports/FY%202007/12-30-2006%20Reports/LIT2007.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BUDGET/Literary%20Fund/Treasury%20Reports/FY%202007/12-30-2006%20Reports/LIT200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BUDGET/Literary%20Fund/Treasury%20Reports/FY%202007/9-30-2006%20Reports/LIT2007.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BUDGET/Literary%20Fund/Treasury%20Reports/FY%202006/June%202006/LIT2006%20(Final).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BUDGET/Literary%20Fund/Treasury%20Reports/FY%202006/May%202006/LIT200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BUDGET/Literary%20Fund/Treasury%20Reports/FY%202006/April%202006/LIT200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BUDGET/Literary%20Fund/Treasury%20Reports/FY%202006/March%202006/LIT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8%20BOE%20Literary%20Fund%20Agendas/2018%20-%20Oct.%20Board%20Meeting/LIT2018.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BUDGET/Literary%20Fund/Treasury%20Reports/FY%202006/January%202006%20Reports/LIT2006.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BUDGET/Literary%20Fund/Treasury%20Reports/FY%202006/November%202005%20Reports/Report%20of%20the%20Literary%20Fund%20-%20FY%202006%20(Nov%202005).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BUDGET/Literary%20Fund/Treasury%20Reports/FY%202006/February%202006%20Reports/LIT200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9%20BOE%20Literary%20Fund%20Agendas/2019%20-%20Oct.%20Board%20Meeting/attachment-b-financial-report.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8%20BOE%20Literary%20Fund%20Agendas/2018%20-%20January%20Board%20Meeting/Finan.%20Report%20(Attach.%20B%20to%20Agenda%20A)%20-%20Jan.%202018.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Users/euu29954/AppData/Local/Microsoft/Windows/Temporary%20Internet%20Files/Content.Outlook/6NSPRJZ0/Financial%20Report%20(Att%20B%20and%20C%20to%20Agenda%20A)%20-%20Active%20Projects%20-%20July%202017.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Users/euu29954/AppData/Local/Microsoft/Windows/Temporary%20Internet%20Files/Content.Outlook/6NSPRJZ0/Financial%20Report%20(Att%20B%20and%20C%20to%20Agenda%20A)%20-%20Active%20Projects%20-%20January%202017.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Users/euu29954/AppData/Local/Microsoft/Windows/Temporary%20Internet%20Files/Content.Outlook/6NSPRJZ0/Financial%20Report%20(Att%20B%20and%20C%20to%20Agenda%20A)%20-%20Active%20Projects%20-%20October%20201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euu29954/AppData/Local/Microsoft/Windows/Temporary%20Internet%20Files/Content.Outlook/6NSPRJZ0/Financial%20Report%20(Att%20B%20and%20C%20to%20Agenda%20A)%20-%20Active%20Projects%20-%20April%202016.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Financial%20Report%20(Att%20B%20&amp;%20C%20to%20Agenda%20A)%20-%20Active%20Projects%20-%20October%20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8%20BOE%20Literary%20Fund%20Agendas/2018%20-%20July%20Board%20Meeting/LIT2018.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Financial%20Report%20(Att%20B%20&amp;%20C%20to%20Agenda%20A)%20-%20Active%20Projects%20-%20July%20201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Financial%20Report%20(Att%20B%20&amp;%20C%20to%20Agenda%20A)%20-%20Active%20Projects%20-%20April%202015.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Financial%20Report%20(Att%20B%20&amp;%20C%20to%20Agenda%20A)%20-%20Active%20Projects%20-%20January%202015.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BA%20-%20Financial%20Report%20(Att%20B%20&amp;%20C%20to%20Agenda%20A)%20-%20Active%20Projects%20-%20July%202014%20-%20Tina.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BA%20-%20Financial%20Report%20(Att%20B%20&amp;%20C%20to%20Agenda%20A)%20-%20Active%20Projects%20-%20April%20201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BA%20-%20Financial%20Report%20(Att%20B%20&amp;%20C%20to%20Agenda%20A)%20-%20Active%20Projects%20-%20October%202013.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BA%20-%20Financial%20Report%20(Att%20B%20&amp;%20C%20to%20Agenda%20A)%20-%20Active%20Projects%20-%20April%202013.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BA%20-%20Financial%20Report%20(Att%20B%20&amp;%20C%20to%20Agenda%20A)%20-%20Active%20Projects%20-%20January%202013.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BA%20-%20Financial%20Report%20(Att%20B%20&amp;%20C%20to%20Agenda%20A)%20-%20Active%20Projects%20-%20October%20201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BA%20-%20Financial%20Report%20(Att%20B%20&amp;%20C%20to%20Agenda%20A)%20-%20Active%20Projects%20-%20July%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ENTRAL%20OFFICE/CAPITAL%20PROGRAMS/Literary%20Fund/Board%20Agendas%20-%20Current%20Waiting%20List/2018%20BOE%20Literary%20Fund%20Agendas/2018%20-%20April%20Board%20Meeting/LIT2018.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BA%20-%20Financial%20Report%20(Att%20B%20&amp;%20C%20to%20Agenda%20A)%20-%20Active%20Projects%20-%20April%20201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5%20BOE%20Literary%20Fund%20Agendas/2015%20-%20October%20Board%20Meeting/BA%20-%20Financial%20Report%20(Att%20B%20&amp;%20C%20to%20Agenda%20A)%20-%20Active%20Projects.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1%20BOE%20Literary%20Fund%20Agendas/2011%20-%20October%20Board%20Meeting/BA%20-%20Financial%20Report%20(Att%20B%20&amp;%20C%20to%20Agenda%20A)%20-%20Active%20Projects.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1%20BOE%20Literary%20Fund%20Agendas/2011%20-%20July%20Board%20Meeting/BA%20-%20Financial%20Report%20(Att%20B%20&amp;%20C%20to%20Agenda%20A)%20-%20Active%20Projects.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1%20BOE%20Literary%20Fund%20Agendas/2011%20-%20April%20Board%20Meeting/BA%20-%20Financial%20Report%20(Att%20B%20&amp;%20C%20to%20Agenda%20A)%20-%20Active%20Projects.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10%20BOE%20Literary%20%20Fund%20Agendas/2010%20-%20April%20Board%20Meeting/BA%20-%20Financial%20Report%20(Att%20B%20&amp;%20C%20to%20Agenda%20A)%20-%20Active%20Projects.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08%20BOE%20Literary%20Fund%20Agendas/2008%20-%20Oct%20Board%20Meeting/BA%20-%20Financial%20Report%20(Att%20B%20&amp;%20C%20to%20Agenda%20A)%20-%20Active%20Projects.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08%20BOE%20Literary%20Fund%20Agendas/2008%20-%20July%20Board%20Meeting/BA%20-%20Financial%20Report%20(Att%20B%20&amp;%20C%20to%20Agenda%20A)%20-%20Active%20Project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08%20BOE%20Literary%20Fund%20Agendas/2008%20-%20Apr%20Board%20Meeting/BA%20-%20Financial%20Report%20(Att%20B%20&amp;%20C%20to%20Agenda%20A)%20-%20Active%20Projects.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CAPITAL%20PROGRAMS/Literary%20Fund/Board%20Agendas%20-%20Current%20Waiting%20List/2008%20BOE%20Literary%20Fund%20Agendas/2008%20-%20Jan%20Board%20Meeting/BA%20-%20Financial%20Report%20(Att%20B%20&amp;%20C%20to%20Agenda%20A)%20-%20Active%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20"/>
    </sheetNames>
    <sheetDataSet>
      <sheetData sheetId="0">
        <row r="43">
          <cell r="K43">
            <v>183909305</v>
          </cell>
        </row>
        <row r="59">
          <cell r="K59">
            <v>0</v>
          </cell>
        </row>
        <row r="64">
          <cell r="K64">
            <v>87873078.719999999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8"/>
    </sheetNames>
    <sheetDataSet>
      <sheetData sheetId="0">
        <row r="30">
          <cell r="E30"/>
        </row>
        <row r="33">
          <cell r="E33"/>
        </row>
        <row r="42">
          <cell r="E42">
            <v>95099373</v>
          </cell>
        </row>
        <row r="59">
          <cell r="E59">
            <v>0</v>
          </cell>
        </row>
        <row r="64">
          <cell r="E64">
            <v>107227855</v>
          </cell>
        </row>
      </sheetData>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37">
          <cell r="G37">
            <v>24853667.599999998</v>
          </cell>
        </row>
      </sheetData>
      <sheetData sheetId="1"/>
      <sheetData sheetId="2"/>
      <sheetData sheetId="3"/>
      <sheetData sheetId="4"/>
      <sheetData sheetId="5"/>
      <sheetData sheetId="6"/>
      <sheetData sheetId="7"/>
      <sheetData sheetId="8"/>
      <sheetData sheetId="9"/>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13">
          <cell r="G13">
            <v>24000000</v>
          </cell>
        </row>
        <row r="43">
          <cell r="G43">
            <v>9913300.3599999994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13">
          <cell r="G13">
            <v>24000000</v>
          </cell>
        </row>
        <row r="44">
          <cell r="G44">
            <v>9919800.3599999994</v>
          </cell>
        </row>
      </sheetData>
      <sheetData sheetId="1"/>
      <sheetData sheetId="2"/>
      <sheetData sheetId="3"/>
      <sheetData sheetId="4"/>
      <sheetData sheetId="5"/>
      <sheetData sheetId="6"/>
      <sheetData sheetId="7"/>
      <sheetData sheetId="8"/>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6-06"/>
      <sheetName val="Disbursements 3-06"/>
      <sheetName val="Active Payment - Franklin"/>
      <sheetName val="Active Payment - Nandua"/>
    </sheetNames>
    <sheetDataSet>
      <sheetData sheetId="0" refreshError="1">
        <row r="36">
          <cell r="V36">
            <v>9482718.8199999966</v>
          </cell>
          <cell r="W36">
            <v>9482718.8199999966</v>
          </cell>
          <cell r="X36">
            <v>1648754.4599999967</v>
          </cell>
        </row>
      </sheetData>
      <sheetData sheetId="1" refreshError="1"/>
      <sheetData sheetId="2" refreshError="1"/>
      <sheetData sheetId="3" refreshError="1"/>
      <sheetData sheetId="4" refreshError="1"/>
      <sheetData sheetId="5"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3-06"/>
    </sheetNames>
    <sheetDataSet>
      <sheetData sheetId="0">
        <row r="31">
          <cell r="G31">
            <v>9482718.8199999984</v>
          </cell>
        </row>
        <row r="38">
          <cell r="T38">
            <v>10028936.819999997</v>
          </cell>
        </row>
      </sheetData>
      <sheetData sheetId="1"/>
      <sheetData sheetId="2"/>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sheetName val="Disbursements 11-05"/>
      <sheetName val="Disbursements 1-06"/>
    </sheetNames>
    <sheetDataSet>
      <sheetData sheetId="0">
        <row r="72">
          <cell r="K72">
            <v>8540234.209999999</v>
          </cell>
          <cell r="L72">
            <v>8540234.209999999</v>
          </cell>
          <cell r="M72">
            <v>8433492.209999999</v>
          </cell>
          <cell r="N72">
            <v>8428949.209999999</v>
          </cell>
          <cell r="O72">
            <v>10028936.819999997</v>
          </cell>
          <cell r="P72">
            <v>10028936.819999997</v>
          </cell>
          <cell r="Q72">
            <v>10028936.819999997</v>
          </cell>
        </row>
      </sheetData>
      <sheetData sheetId="1" refreshError="1"/>
      <sheetData sheetId="2"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ds summary"/>
    </sheetNames>
    <sheetDataSet>
      <sheetData sheetId="0">
        <row r="19">
          <cell r="U19">
            <v>62694847.920000002</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v's Intro. Budg. - Dec. 2010"/>
      <sheetName val="Updated for Chapter 3"/>
      <sheetName val="Gov's Dec. 2005 Budget"/>
      <sheetName val="Accrual Adjustment"/>
      <sheetName val="Detailed Treasury Fcst 11-18-10"/>
      <sheetName val="Fcst from Treas on 11-18-10"/>
      <sheetName val="VRS Transfer Detail - NOV 09"/>
      <sheetName val="Tech Note Debt Service"/>
      <sheetName val="BOY Reconciliation"/>
      <sheetName val="Direct Loans"/>
      <sheetName val="Fcst from Treas on 12-5-2006"/>
      <sheetName val="Fcst from Treas on 12-15-2005"/>
      <sheetName val="Fcst fromTreas on 11-1-2004"/>
      <sheetName val="Fcst from Treas on 11-19-2003"/>
      <sheetName val="Fcst from Treas on 10-27-2003"/>
      <sheetName val="Fall 2005 Subsidy"/>
      <sheetName val="Fall 2004 Subsidy"/>
      <sheetName val="September 2005 Waiting List"/>
    </sheetNames>
    <sheetDataSet>
      <sheetData sheetId="0" refreshError="1">
        <row r="24">
          <cell r="I24">
            <v>-12825750</v>
          </cell>
        </row>
        <row r="25">
          <cell r="I25">
            <v>-12981750</v>
          </cell>
          <cell r="J25">
            <v>-12978000</v>
          </cell>
        </row>
        <row r="26">
          <cell r="I26">
            <v>-12606750</v>
          </cell>
          <cell r="J26">
            <v>-12607250</v>
          </cell>
        </row>
        <row r="27">
          <cell r="I27">
            <v>-12155750</v>
          </cell>
          <cell r="J27">
            <v>-12151000</v>
          </cell>
        </row>
        <row r="28">
          <cell r="I28">
            <v>-12940236.109999901</v>
          </cell>
          <cell r="J28">
            <v>-13051000</v>
          </cell>
        </row>
        <row r="29">
          <cell r="J29">
            <v>-12020427.5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ARIABLES"/>
      <sheetName val="SALARY DATA"/>
      <sheetName val="COCA DATA"/>
      <sheetName val="FISCAL AGENTS"/>
      <sheetName val="QUERY FOR PPAs"/>
      <sheetName val="PPA"/>
      <sheetName val="FM"/>
      <sheetName val="COMP INDEX"/>
      <sheetName val="ADM"/>
      <sheetName val="FREE LUNCH"/>
      <sheetName val="SOQ CALCS"/>
      <sheetName val="HH SALES TAX"/>
      <sheetName val="HH SALES TX INCREMENT"/>
      <sheetName val="BENEFITS"/>
      <sheetName val="ESL"/>
      <sheetName val="REMEDIAL SUMMER SCHOOL"/>
      <sheetName val="LOTTERY"/>
      <sheetName val="SCHOOL CONSTRUCTION"/>
      <sheetName val="COMP SUPP"/>
      <sheetName val="CS Queries"/>
      <sheetName val="ENROLLMENT LOSS"/>
      <sheetName val="AT RISK"/>
      <sheetName val="K-3 PRIMARY CLASS SIZE"/>
      <sheetName val="AT RISK 4 YR OLDS"/>
      <sheetName val="EARLY READING"/>
      <sheetName val="ISAEP"/>
      <sheetName val="ALGEBRA READINESS"/>
      <sheetName val="VPSA TECHNOLOGY"/>
      <sheetName val="TUITION"/>
      <sheetName val="SCHOOL BREAKFAST"/>
      <sheetName val="ALTERNATIVE ED"/>
      <sheetName val="GOVS SCHOOL"/>
      <sheetName val="SUPPLEMENTAL BASIC AID"/>
      <sheetName val="VOCATIONAL ED - CAT"/>
      <sheetName val="HOMEBOUND"/>
      <sheetName val="HOSPITALS"/>
      <sheetName val="SPEC ED JAILS"/>
      <sheetName val="ADULT ED"/>
      <sheetName val="FOSTER CARE"/>
      <sheetName val="ELEC CLASSROOM"/>
      <sheetName val="SCHOOL LUNCH"/>
      <sheetName val="DISTRIBUTION SUMMARY"/>
      <sheetName val="BASE COMPARISON"/>
      <sheetName val="Increment Tracking Link"/>
      <sheetName val="Appropriation Act"/>
      <sheetName val="Required Local Effort"/>
      <sheetName val="Balance DABS to Act"/>
      <sheetName val="Transfers"/>
      <sheetName val="RLE Neutral Credit"/>
      <sheetName val="Final Acces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72">
          <cell r="D72">
            <v>62614094.444444448</v>
          </cell>
        </row>
      </sheetData>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7"/>
    </sheetNames>
    <sheetDataSet>
      <sheetData sheetId="0">
        <row r="33">
          <cell r="N33"/>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7"/>
    </sheetNames>
    <sheetDataSet>
      <sheetData sheetId="0" refreshError="1">
        <row r="36">
          <cell r="N36">
            <v>199347523</v>
          </cell>
        </row>
        <row r="42">
          <cell r="N42">
            <v>71450042</v>
          </cell>
        </row>
        <row r="59">
          <cell r="N59">
            <v>0</v>
          </cell>
        </row>
        <row r="64">
          <cell r="N64">
            <v>115991439</v>
          </cell>
        </row>
      </sheetData>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A"/>
      <sheetName val="Source Data"/>
    </sheetNames>
    <sheetDataSet>
      <sheetData sheetId="0" refreshError="1"/>
      <sheetData sheetId="1">
        <row r="23">
          <cell r="D23">
            <v>0</v>
          </cell>
        </row>
      </sheetData>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6"/>
    </sheetNames>
    <sheetDataSet>
      <sheetData sheetId="0">
        <row r="30">
          <cell r="M30">
            <v>3169</v>
          </cell>
        </row>
      </sheetData>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v's Intro. Budg. - Dec. 2007"/>
      <sheetName val="Updated for Chapter 3"/>
      <sheetName val="Gov's Dec. 2005 Budget"/>
      <sheetName val="BOY Reconciliation"/>
      <sheetName val="Direct Loans"/>
      <sheetName val="Tech Note Debt Service"/>
      <sheetName val="Fcst from Treas on 11-9-2007"/>
      <sheetName val="Fcst from Treas on 12-5-2006"/>
      <sheetName val="Fcst from Treas on 12-15-2005"/>
      <sheetName val="Fcst fromTreas on 11-1-2004"/>
      <sheetName val="Fcst from Treas on 11-19-2003"/>
      <sheetName val="Fcst from Treas on 10-27-2003"/>
      <sheetName val="Fall 2005 Subsidy"/>
      <sheetName val="Fall 2004 Subsidy"/>
      <sheetName val="September 2005 Waiting List"/>
    </sheetNames>
    <sheetDataSet>
      <sheetData sheetId="0">
        <row r="11">
          <cell r="F11">
            <v>-124934530</v>
          </cell>
        </row>
        <row r="21">
          <cell r="G21">
            <v>-12656800</v>
          </cell>
        </row>
        <row r="22">
          <cell r="G22">
            <v>-12634750</v>
          </cell>
        </row>
        <row r="23">
          <cell r="G23">
            <v>-12821000</v>
          </cell>
        </row>
        <row r="24">
          <cell r="G24">
            <v>-12986500</v>
          </cell>
        </row>
        <row r="25">
          <cell r="G25">
            <v>-13483287.5</v>
          </cell>
        </row>
        <row r="38">
          <cell r="F38">
            <v>-16917957.48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Subsidy"/>
      <sheetName val="Subsidy Pmts"/>
      <sheetName val="2004 Subsidy"/>
      <sheetName val="2003 Subsidy"/>
      <sheetName val="2002 Subsidy"/>
      <sheetName val="2001 Subsidy"/>
      <sheetName val="2000 Subsidy"/>
      <sheetName val="1999 Subsidy"/>
      <sheetName val="Sheet2"/>
      <sheetName val="Sheet3"/>
    </sheetNames>
    <sheetDataSet>
      <sheetData sheetId="0" refreshError="1">
        <row r="34">
          <cell r="I34">
            <v>14889363.210000003</v>
          </cell>
        </row>
      </sheetData>
      <sheetData sheetId="1"/>
      <sheetData sheetId="2"/>
      <sheetData sheetId="3"/>
      <sheetData sheetId="4"/>
      <sheetData sheetId="5"/>
      <sheetData sheetId="6"/>
      <sheetData sheetId="7"/>
      <sheetData sheetId="8"/>
      <sheetData sheetId="9"/>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ARIABLES"/>
      <sheetName val="SALARY DATA"/>
      <sheetName val="COCA DATA"/>
      <sheetName val="FISCAL AGENTS"/>
      <sheetName val="PPA"/>
      <sheetName val="FM"/>
      <sheetName val="COMP INDEX"/>
      <sheetName val="ADM"/>
      <sheetName val="FREE LUNCH"/>
      <sheetName val="SOQ CALCS"/>
      <sheetName val="BENEFITS"/>
      <sheetName val="COMP SUPP"/>
      <sheetName val="CS Queries"/>
      <sheetName val="REMEDIAL SUMMER SCHOOL"/>
      <sheetName val="SCHOOL CONSTRUCTION"/>
      <sheetName val="GOVS SCHOOL"/>
      <sheetName val="NO LOSS"/>
      <sheetName val="Addl Assistance w VRS, Infl, PK"/>
      <sheetName val="Project Graduation"/>
      <sheetName val="Math, Reading Specialists"/>
      <sheetName val="Early Reading Specialists"/>
      <sheetName val="BONUS PYMT"/>
      <sheetName val="VPSA TECHNOLOGY"/>
      <sheetName val="ADULT ED"/>
      <sheetName val="VIRTUAL VA"/>
      <sheetName val="INDIAN CHILDREN"/>
      <sheetName val="SCHOOL LUNCH"/>
      <sheetName val="SOP"/>
      <sheetName val="HOMEBOUND"/>
      <sheetName val="SPEC ED JAILS"/>
      <sheetName val="LOTTERY"/>
      <sheetName val="FOSTER CARE"/>
      <sheetName val="ENROLLMENT LOSS"/>
      <sheetName val="AT RISK"/>
      <sheetName val="VPI"/>
      <sheetName val="VPI +"/>
      <sheetName val="EARLY READING"/>
      <sheetName val="MENTOR TEACHER"/>
      <sheetName val="K-3 PRIMARY CLASS SIZE"/>
      <sheetName val="SCHOOL BREAKFAST"/>
      <sheetName val="ALGEBRA READINESS"/>
      <sheetName val="ALTERNATIVE ED"/>
      <sheetName val="ISAEP"/>
      <sheetName val="TUITION"/>
      <sheetName val="VOCATIONAL ED - CAT"/>
      <sheetName val="SUPPLEMENTAL BASIC AID"/>
      <sheetName val="ESL"/>
      <sheetName val="EFAL"/>
      <sheetName val="DISTRIBUTION SUMMARY"/>
      <sheetName val="BASE COMPARISON"/>
      <sheetName val="Increment Tracking Link"/>
      <sheetName val="Fund Code Appropriations"/>
      <sheetName val="Appropriation Act"/>
      <sheetName val="Required Local Effort"/>
      <sheetName val="Final Access Data"/>
      <sheetName val="SOQ Queries"/>
      <sheetName val="Manual AutoQuery Check"/>
      <sheetName val="Sheet1"/>
      <sheetName val="LINK 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6">
          <cell r="C6">
            <v>136349570</v>
          </cell>
        </row>
      </sheetData>
      <sheetData sheetId="52"/>
      <sheetData sheetId="53"/>
      <sheetData sheetId="54"/>
      <sheetData sheetId="55"/>
      <sheetData sheetId="56"/>
      <sheetData sheetId="57"/>
      <sheetData sheetId="58"/>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ARIABLES"/>
      <sheetName val="SALARY DATA"/>
      <sheetName val="COCA DATA"/>
      <sheetName val="FISCAL AGENTS"/>
      <sheetName val="PPA"/>
      <sheetName val="FM"/>
      <sheetName val="COMP INDEX"/>
      <sheetName val="ADM"/>
      <sheetName val="FREE LUNCH"/>
      <sheetName val="SOQ CALCS"/>
      <sheetName val="BENEFITS"/>
      <sheetName val="COMP SUPP"/>
      <sheetName val="CS Queries"/>
      <sheetName val="REMEDIAL SUMMER SCHOOL"/>
      <sheetName val="SCHOOL CONSTRUCTION"/>
      <sheetName val="GOVS SCHOOL"/>
      <sheetName val="NO LOSS"/>
      <sheetName val="Addl Assistance w VRS, Infl, PK"/>
      <sheetName val="Project Graduation"/>
      <sheetName val="Math, Reading Specialists"/>
      <sheetName val="Early Reading Specialists"/>
      <sheetName val="BONUS PYMT"/>
      <sheetName val="VPSA TECHNOLOGY"/>
      <sheetName val="ADULT ED"/>
      <sheetName val="VIRTUAL VA"/>
      <sheetName val="INDIAN CHILDREN"/>
      <sheetName val="SCHOOL LUNCH"/>
      <sheetName val="SOP"/>
      <sheetName val="HOMEBOUND"/>
      <sheetName val="SPEC ED JAILS"/>
      <sheetName val="LOTTERY"/>
      <sheetName val="FOSTER CARE"/>
      <sheetName val="Enrollment Loss"/>
      <sheetName val="AT RISK"/>
      <sheetName val="VPI"/>
      <sheetName val="EARLY READING"/>
      <sheetName val="MENTOR TEACHER"/>
      <sheetName val="K-3 PRIMARY CLASS SIZE"/>
      <sheetName val="SCHOOL BREAKFAST"/>
      <sheetName val="ALGEBRA READINESS"/>
      <sheetName val="ALTERNATIVE ED"/>
      <sheetName val="ISAEP"/>
      <sheetName val="TUITION"/>
      <sheetName val="VOCATIONAL ED - CAT"/>
      <sheetName val="SUPPLEMENTAL BASIC AID"/>
      <sheetName val="ESL"/>
      <sheetName val="EFAL"/>
      <sheetName val="DISTRIBUTION SUMMARY"/>
      <sheetName val="BASE COMPARISON"/>
      <sheetName val="Increment Tracking Link"/>
      <sheetName val="Fund Code Appropriations"/>
      <sheetName val="Appropriation Act"/>
      <sheetName val="Required Local Effort"/>
      <sheetName val="Final Access Data"/>
      <sheetName val="SOQ Queries"/>
      <sheetName val="Manual AutoQuery Check"/>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6">
          <cell r="B6">
            <v>146349570</v>
          </cell>
        </row>
      </sheetData>
      <sheetData sheetId="51"/>
      <sheetData sheetId="52"/>
      <sheetData sheetId="53"/>
      <sheetData sheetId="54"/>
      <sheetData sheetId="55"/>
      <sheetData sheetId="56"/>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ARIABLES"/>
      <sheetName val="SALARY DATA"/>
      <sheetName val="COCA DATA"/>
      <sheetName val="FISCAL AGENTS"/>
      <sheetName val="PPA"/>
      <sheetName val="FM"/>
      <sheetName val="COMP INDEX"/>
      <sheetName val="ADM"/>
      <sheetName val="FREE LUNCH"/>
      <sheetName val="SOQ CALCS"/>
      <sheetName val="BENEFITS"/>
      <sheetName val="COMP SUPP"/>
      <sheetName val="CS Queries"/>
      <sheetName val="REMEDIAL SUMMER SCHOOL"/>
      <sheetName val="SCHOOL CONSTRUCTION"/>
      <sheetName val="GOVS SCHOOL"/>
      <sheetName val="Addl Assistance w VRS, Infl, PK"/>
      <sheetName val="Project Graduation"/>
      <sheetName val="Math, Reading Specialists"/>
      <sheetName val="Early Reading Specialists"/>
      <sheetName val="BONUS PYMT"/>
      <sheetName val="VPSA TECHNOLOGY"/>
      <sheetName val="ADULT ED"/>
      <sheetName val="VIRTUAL VA"/>
      <sheetName val="INDIAN CHILDREN"/>
      <sheetName val="SCHOOL LUNCH"/>
      <sheetName val="SOP"/>
      <sheetName val="HOMEBOUND"/>
      <sheetName val="SPEC ED JAILS"/>
      <sheetName val="LOTTERY"/>
      <sheetName val="FOSTER CARE"/>
      <sheetName val="Enrollment Loss"/>
      <sheetName val="AT RISK"/>
      <sheetName val="VPI"/>
      <sheetName val="EARLY READING"/>
      <sheetName val="MENTOR TEACHER"/>
      <sheetName val="K-3 PRIMARY CLASS SIZE"/>
      <sheetName val="SCHOOL BREAKFAST"/>
      <sheetName val="ALGEBRA READINESS"/>
      <sheetName val="ALTERNATIVE ED"/>
      <sheetName val="ISAEP"/>
      <sheetName val="TUITION"/>
      <sheetName val="VOCATIONAL ED - CAT"/>
      <sheetName val="SUPPLEMENTAL BASIC AID"/>
      <sheetName val="ESL"/>
      <sheetName val="EFAL"/>
      <sheetName val="DISTRIBUTION SUMMARY"/>
      <sheetName val="BASE COMPARISON"/>
      <sheetName val="Increment Tracking Link"/>
      <sheetName val="Fund Code Appropriations"/>
      <sheetName val="Appropriation Act"/>
      <sheetName val="Required Local Effort"/>
      <sheetName val="Final Access Data"/>
      <sheetName val="SOQ Queries"/>
      <sheetName val="Manual AutoQuery Check"/>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6">
          <cell r="C6">
            <v>181349570</v>
          </cell>
        </row>
      </sheetData>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e Budget Feb2015"/>
      <sheetName val="Updated for Chapter 3"/>
      <sheetName val="Gov's Dec. 2005 Budget"/>
      <sheetName val="Tech Note Debt Service"/>
      <sheetName val="Security Eqmt Debt Service"/>
      <sheetName val="Accrual Adjustment"/>
      <sheetName val="Detailed Treasury Fcst 02-25-15"/>
      <sheetName val="Fcst from Treas"/>
      <sheetName val="VRS Transfer Detail - Feb 15"/>
      <sheetName val="BOY Reconciliation"/>
      <sheetName val="Direct Loans"/>
      <sheetName val="Fcst from Treas on 12-5-2006"/>
      <sheetName val="Fcst from Treas on 12-15-2005"/>
      <sheetName val="Fcst fromTreas on 11-1-2004"/>
      <sheetName val="Fcst from Treas on 11-19-2003"/>
      <sheetName val="Fcst from Treas on 10-27-2003"/>
      <sheetName val="Fall 2005 Subsidy"/>
      <sheetName val="Fall 2004 Subsidy"/>
      <sheetName val="September 2005 Waiting List"/>
    </sheetNames>
    <sheetDataSet>
      <sheetData sheetId="0">
        <row r="12">
          <cell r="M12">
            <v>-182855378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v's Intro. Budg. - Dec. 2011"/>
      <sheetName val="Updated for Chapter 3"/>
      <sheetName val="Gov's Dec. 2005 Budget"/>
      <sheetName val="Accrual Adjustment"/>
      <sheetName val="Detailed Treasury Fcst 10-21-11"/>
      <sheetName val="Fcst from Treas on 10-21-11"/>
      <sheetName val="VRS Transfer Detail - OCT 11"/>
      <sheetName val="Tech Note Debt Service"/>
      <sheetName val="BOY Reconciliation"/>
      <sheetName val="Direct Loans"/>
      <sheetName val="Fcst from Treas on 12-5-2006"/>
      <sheetName val="Fcst from Treas on 12-15-2005"/>
      <sheetName val="Fcst fromTreas on 11-1-2004"/>
      <sheetName val="Fcst from Treas on 11-19-2003"/>
      <sheetName val="Fcst from Treas on 10-27-2003"/>
      <sheetName val="Fall 2005 Subsidy"/>
      <sheetName val="Fall 2004 Subsidy"/>
      <sheetName val="September 2005 Waiting List"/>
    </sheetNames>
    <sheetDataSet>
      <sheetData sheetId="0" refreshError="1">
        <row r="26">
          <cell r="K26">
            <v>-12610500</v>
          </cell>
        </row>
        <row r="27">
          <cell r="K27">
            <v>-12156000</v>
          </cell>
        </row>
        <row r="28">
          <cell r="K28">
            <v>-11911750</v>
          </cell>
        </row>
        <row r="29">
          <cell r="K29">
            <v>-11666600</v>
          </cell>
        </row>
        <row r="30">
          <cell r="K30">
            <v>-12471800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notes"/>
      <sheetName val="2007 notes est"/>
      <sheetName val="2008 notes est"/>
      <sheetName val="note ds summary"/>
    </sheetNames>
    <sheetDataSet>
      <sheetData sheetId="0"/>
      <sheetData sheetId="1"/>
      <sheetData sheetId="2"/>
      <sheetData sheetId="3">
        <row r="17">
          <cell r="Q17">
            <v>63510236.109999903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7"/>
    </sheetNames>
    <sheetDataSet>
      <sheetData sheetId="0">
        <row r="42">
          <cell r="K42">
            <v>232980215</v>
          </cell>
        </row>
        <row r="59">
          <cell r="K59">
            <v>0</v>
          </cell>
        </row>
        <row r="64">
          <cell r="K64">
            <v>121229425</v>
          </cell>
        </row>
      </sheetData>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notes"/>
      <sheetName val="2007 notes est"/>
      <sheetName val="2008 notes est"/>
      <sheetName val="note ds summary"/>
    </sheetNames>
    <sheetDataSet>
      <sheetData sheetId="0"/>
      <sheetData sheetId="1"/>
      <sheetData sheetId="2"/>
      <sheetData sheetId="3">
        <row r="17">
          <cell r="Q17">
            <v>63624637.5</v>
          </cell>
        </row>
      </sheetData>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v's Intro. Budg. - Dec. 2009"/>
      <sheetName val="Updated for Chapter 3"/>
      <sheetName val="Gov's Dec. 2005 Budget"/>
      <sheetName val="BOY Reconciliation"/>
      <sheetName val="Direct Loans"/>
      <sheetName val="Tech Note Debt Service"/>
      <sheetName val="Fcst from Treas on 10-19-09"/>
      <sheetName val="VRS Transfer Detail - NOV 09"/>
      <sheetName val="Fcst from Treas on 12-5-2006"/>
      <sheetName val="Fcst from Treas on 12-15-2005"/>
      <sheetName val="Fcst fromTreas on 11-1-2004"/>
      <sheetName val="Fcst from Treas on 11-19-2003"/>
      <sheetName val="Fcst from Treas on 10-27-2003"/>
      <sheetName val="Fall 2005 Subsidy"/>
      <sheetName val="Fall 2004 Subsidy"/>
      <sheetName val="September 2005 Waiting List"/>
    </sheetNames>
    <sheetDataSet>
      <sheetData sheetId="0">
        <row r="22">
          <cell r="H22">
            <v>-12636750</v>
          </cell>
        </row>
        <row r="23">
          <cell r="H23">
            <v>-12822250</v>
          </cell>
        </row>
        <row r="24">
          <cell r="H24">
            <v>-12977250</v>
          </cell>
        </row>
        <row r="25">
          <cell r="H25">
            <v>-13482000</v>
          </cell>
        </row>
        <row r="26">
          <cell r="H26">
            <v>-13379385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v's Intro. Budg. - Dec. 2008"/>
      <sheetName val="Updated for Chapter 3"/>
      <sheetName val="Gov's Dec. 2005 Budget"/>
      <sheetName val="BOY Reconciliation"/>
      <sheetName val="Direct Loans"/>
      <sheetName val="Tech Note Debt Service"/>
      <sheetName val="Fcst from Treas on 12-2-2008"/>
      <sheetName val="VRS Transfer Detail - Dec08"/>
      <sheetName val="Fcst from Treas on 12-5-2006"/>
      <sheetName val="Fcst from Treas on 12-15-2005"/>
      <sheetName val="Fcst fromTreas on 11-1-2004"/>
      <sheetName val="Fcst from Treas on 11-19-2003"/>
      <sheetName val="Fcst from Treas on 10-27-2003"/>
      <sheetName val="Fall 2005 Subsidy"/>
      <sheetName val="Fall 2004 Subsidy"/>
      <sheetName val="September 2005 Waiting List"/>
    </sheetNames>
    <sheetDataSet>
      <sheetData sheetId="0">
        <row r="21">
          <cell r="G21">
            <v>-12656800</v>
          </cell>
        </row>
        <row r="22">
          <cell r="G22">
            <v>-12634750</v>
          </cell>
        </row>
        <row r="23">
          <cell r="G23">
            <v>-12821000</v>
          </cell>
        </row>
        <row r="24">
          <cell r="G24">
            <v>-12986500</v>
          </cell>
        </row>
        <row r="25">
          <cell r="G25">
            <v>-13370420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v's Dec .2006 Budget"/>
      <sheetName val="Updated for Chapter 3"/>
      <sheetName val="Gov's Dec. 2005 Budget"/>
      <sheetName val="Tech Note Debt Service"/>
      <sheetName val="Fcst from Treas on 12-5-2006"/>
      <sheetName val="Fcst from Treas on 12-15-2005"/>
      <sheetName val="Fcst fromTreas on 11-1-2004"/>
      <sheetName val="Fcst from Treas on 11-19-2003"/>
      <sheetName val="Fcst from Treas on 10-27-2003"/>
      <sheetName val="Fall 2005 Subsidy"/>
      <sheetName val="Fall 2004 Subsidy"/>
      <sheetName val="September 2005 Waiting List"/>
    </sheetNames>
    <sheetDataSet>
      <sheetData sheetId="0" refreshError="1">
        <row r="37">
          <cell r="E37">
            <v>83073136.283902943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for Chapter 3"/>
      <sheetName val="Updated for Gov's 2006 Intro."/>
      <sheetName val="Tech Note Debt Service"/>
      <sheetName val="Fcst from Treas on 12-15-2005"/>
      <sheetName val="Fcst fromTreas on 11-1-2004"/>
      <sheetName val="Fcst from Treas on 11-19-2003"/>
      <sheetName val="Fcst from Treas on 10-27-2003"/>
      <sheetName val="Fall 2005 Subsidy"/>
      <sheetName val="Fall 2004 Subsidy"/>
      <sheetName val="September 2005 Waiting List"/>
    </sheetNames>
    <sheetDataSet>
      <sheetData sheetId="0">
        <row r="37">
          <cell r="D37">
            <v>78407027.219999969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7"/>
    </sheetNames>
    <sheetDataSet>
      <sheetData sheetId="0" refreshError="1">
        <row r="30">
          <cell r="H30">
            <v>1160</v>
          </cell>
        </row>
        <row r="31">
          <cell r="F31">
            <v>3755338</v>
          </cell>
        </row>
        <row r="42">
          <cell r="H42">
            <v>135988523</v>
          </cell>
        </row>
        <row r="59">
          <cell r="H59">
            <v>0</v>
          </cell>
        </row>
        <row r="64">
          <cell r="H64">
            <v>125357743.48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7"/>
    </sheetNames>
    <sheetDataSet>
      <sheetData sheetId="0">
        <row r="30">
          <cell r="C30">
            <v>0</v>
          </cell>
          <cell r="D30">
            <v>0</v>
          </cell>
          <cell r="E30">
            <v>0</v>
          </cell>
        </row>
        <row r="33">
          <cell r="C33">
            <v>0</v>
          </cell>
          <cell r="D33">
            <v>0</v>
          </cell>
          <cell r="E33">
            <v>0</v>
          </cell>
        </row>
        <row r="42">
          <cell r="C42">
            <v>98627178</v>
          </cell>
          <cell r="D42">
            <v>107830398</v>
          </cell>
          <cell r="E42">
            <v>116126400</v>
          </cell>
        </row>
        <row r="59">
          <cell r="C59">
            <v>0</v>
          </cell>
          <cell r="D59">
            <v>0</v>
          </cell>
          <cell r="E59">
            <v>0</v>
          </cell>
        </row>
        <row r="64">
          <cell r="C64">
            <v>134738762</v>
          </cell>
          <cell r="D64">
            <v>132274278</v>
          </cell>
          <cell r="E64">
            <v>130458173.58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6"/>
    </sheetNames>
    <sheetDataSet>
      <sheetData sheetId="0">
        <row r="33">
          <cell r="L33">
            <v>7500000</v>
          </cell>
          <cell r="M33">
            <v>4987173</v>
          </cell>
          <cell r="N33">
            <v>0</v>
          </cell>
        </row>
        <row r="36">
          <cell r="N36">
            <v>165223825</v>
          </cell>
        </row>
        <row r="42">
          <cell r="L42">
            <v>130290232.09999999</v>
          </cell>
          <cell r="M42">
            <v>308416225</v>
          </cell>
          <cell r="N42">
            <v>95546933</v>
          </cell>
        </row>
        <row r="59">
          <cell r="L59">
            <v>0</v>
          </cell>
          <cell r="M59">
            <v>0</v>
          </cell>
          <cell r="N59">
            <v>0</v>
          </cell>
        </row>
        <row r="64">
          <cell r="L64">
            <v>133909880.40000001</v>
          </cell>
          <cell r="M64">
            <v>138250553</v>
          </cell>
          <cell r="N64">
            <v>137358619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6"/>
    </sheetNames>
    <sheetDataSet>
      <sheetData sheetId="0">
        <row r="30">
          <cell r="F30">
            <v>20000</v>
          </cell>
        </row>
        <row r="33">
          <cell r="G33">
            <v>7500000</v>
          </cell>
          <cell r="J33">
            <v>11645000</v>
          </cell>
        </row>
        <row r="42">
          <cell r="I42">
            <v>84225436</v>
          </cell>
          <cell r="J42">
            <v>120928935</v>
          </cell>
          <cell r="K42">
            <v>128739924</v>
          </cell>
        </row>
        <row r="59">
          <cell r="I59">
            <v>0</v>
          </cell>
          <cell r="J59">
            <v>0</v>
          </cell>
          <cell r="K59">
            <v>0</v>
          </cell>
        </row>
        <row r="64">
          <cell r="I64">
            <v>119589895</v>
          </cell>
          <cell r="J64">
            <v>130292871.40000001</v>
          </cell>
          <cell r="K64">
            <v>129000603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6"/>
    </sheetNames>
    <sheetDataSet>
      <sheetData sheetId="0">
        <row r="31">
          <cell r="F31">
            <v>3721258</v>
          </cell>
        </row>
        <row r="42">
          <cell r="F42">
            <v>66260650</v>
          </cell>
          <cell r="G42">
            <v>68390848</v>
          </cell>
          <cell r="H42">
            <v>75218797</v>
          </cell>
        </row>
        <row r="64">
          <cell r="F64">
            <v>119323281</v>
          </cell>
          <cell r="G64">
            <v>123706806.06999999</v>
          </cell>
          <cell r="H64">
            <v>122106679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6"/>
    </sheetNames>
    <sheetDataSet>
      <sheetData sheetId="0">
        <row r="42">
          <cell r="C42">
            <v>12777362</v>
          </cell>
          <cell r="D42">
            <v>22277599</v>
          </cell>
          <cell r="E42">
            <v>61352343.25</v>
          </cell>
        </row>
        <row r="59">
          <cell r="C59">
            <v>0</v>
          </cell>
          <cell r="D59">
            <v>0</v>
          </cell>
          <cell r="E59">
            <v>0</v>
          </cell>
          <cell r="F59">
            <v>0</v>
          </cell>
          <cell r="G59">
            <v>0</v>
          </cell>
          <cell r="H59">
            <v>0</v>
          </cell>
        </row>
        <row r="64">
          <cell r="C64">
            <v>124420372</v>
          </cell>
          <cell r="D64">
            <v>122776220</v>
          </cell>
          <cell r="E64">
            <v>120982767</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5"/>
    </sheetNames>
    <sheetDataSet>
      <sheetData sheetId="0">
        <row r="42">
          <cell r="L42">
            <v>262462765.16000003</v>
          </cell>
          <cell r="M42">
            <v>360211024</v>
          </cell>
          <cell r="N42">
            <v>8381628</v>
          </cell>
        </row>
        <row r="57">
          <cell r="L57">
            <v>0</v>
          </cell>
          <cell r="N57">
            <v>0</v>
          </cell>
        </row>
        <row r="64">
          <cell r="L64">
            <v>129394884</v>
          </cell>
          <cell r="M64">
            <v>128882384</v>
          </cell>
          <cell r="N64">
            <v>127799882.86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20"/>
    </sheetNames>
    <sheetDataSet>
      <sheetData sheetId="0">
        <row r="33">
          <cell r="E33">
            <v>7500000</v>
          </cell>
        </row>
        <row r="43">
          <cell r="E43">
            <v>101325347</v>
          </cell>
          <cell r="H43">
            <v>127947580</v>
          </cell>
        </row>
        <row r="59">
          <cell r="E59">
            <v>0</v>
          </cell>
          <cell r="H59">
            <v>0</v>
          </cell>
        </row>
        <row r="64">
          <cell r="E64">
            <v>102167585</v>
          </cell>
          <cell r="H64">
            <v>91582380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5"/>
    </sheetNames>
    <sheetDataSet>
      <sheetData sheetId="0">
        <row r="41">
          <cell r="I41">
            <v>86498255</v>
          </cell>
          <cell r="J41">
            <v>303693426</v>
          </cell>
          <cell r="K41">
            <v>312373028</v>
          </cell>
        </row>
        <row r="57">
          <cell r="I57">
            <v>0</v>
          </cell>
          <cell r="J57">
            <v>0</v>
          </cell>
          <cell r="K57">
            <v>0</v>
          </cell>
        </row>
        <row r="62">
          <cell r="I62">
            <v>132334715.61</v>
          </cell>
          <cell r="J62">
            <v>131956592</v>
          </cell>
          <cell r="K62">
            <v>130713436</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5"/>
    </sheetNames>
    <sheetDataSet>
      <sheetData sheetId="0">
        <row r="41">
          <cell r="F41">
            <v>55298482.75</v>
          </cell>
          <cell r="G41">
            <v>68031973</v>
          </cell>
          <cell r="H41">
            <v>77134672</v>
          </cell>
        </row>
        <row r="57">
          <cell r="F57">
            <v>0</v>
          </cell>
          <cell r="G57">
            <v>0</v>
          </cell>
          <cell r="H57">
            <v>0</v>
          </cell>
        </row>
        <row r="62">
          <cell r="F62">
            <v>142326969</v>
          </cell>
          <cell r="G62">
            <v>137099326</v>
          </cell>
          <cell r="H62">
            <v>134468742.28</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5"/>
    </sheetNames>
    <sheetDataSet>
      <sheetData sheetId="0">
        <row r="41">
          <cell r="C41">
            <v>24082727</v>
          </cell>
          <cell r="D41">
            <v>41299573.75</v>
          </cell>
          <cell r="E41">
            <v>49293657.75</v>
          </cell>
        </row>
        <row r="57">
          <cell r="C57">
            <v>0</v>
          </cell>
          <cell r="D57">
            <v>0</v>
          </cell>
          <cell r="E57">
            <v>0</v>
          </cell>
        </row>
        <row r="62">
          <cell r="C62">
            <v>153954264.41</v>
          </cell>
          <cell r="D62">
            <v>145277909</v>
          </cell>
          <cell r="E62">
            <v>143916315.19999999</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4"/>
    </sheetNames>
    <sheetDataSet>
      <sheetData sheetId="0">
        <row r="41">
          <cell r="N41">
            <v>17920942</v>
          </cell>
        </row>
        <row r="62">
          <cell r="N62">
            <v>158891596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4"/>
    </sheetNames>
    <sheetDataSet>
      <sheetData sheetId="0">
        <row r="30">
          <cell r="L30">
            <v>56945722</v>
          </cell>
        </row>
        <row r="35">
          <cell r="N35">
            <v>144438573</v>
          </cell>
        </row>
        <row r="41">
          <cell r="L41">
            <v>92025003</v>
          </cell>
          <cell r="M41">
            <v>106596890</v>
          </cell>
        </row>
        <row r="57">
          <cell r="L57">
            <v>0</v>
          </cell>
          <cell r="M57">
            <v>0</v>
          </cell>
          <cell r="N57">
            <v>0</v>
          </cell>
        </row>
        <row r="62">
          <cell r="L62">
            <v>168338078</v>
          </cell>
          <cell r="M62">
            <v>159824697</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4"/>
    </sheetNames>
    <sheetDataSet>
      <sheetData sheetId="0">
        <row r="5">
          <cell r="I5">
            <v>80421772.819999993</v>
          </cell>
        </row>
        <row r="41">
          <cell r="J41">
            <v>131462818.96000001</v>
          </cell>
          <cell r="K41">
            <v>140632015.47</v>
          </cell>
        </row>
        <row r="57">
          <cell r="I57">
            <v>0</v>
          </cell>
          <cell r="J57">
            <v>0</v>
          </cell>
          <cell r="K57">
            <v>0</v>
          </cell>
        </row>
        <row r="62">
          <cell r="I62">
            <v>171982995.63999999</v>
          </cell>
          <cell r="J62">
            <v>171302021.63999999</v>
          </cell>
          <cell r="K62">
            <v>169553303.63999999</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4"/>
    </sheetNames>
    <sheetDataSet>
      <sheetData sheetId="0">
        <row r="41">
          <cell r="F41">
            <v>56891031.950000003</v>
          </cell>
          <cell r="G41">
            <v>65315591.25</v>
          </cell>
          <cell r="H41">
            <v>80421771.61999999</v>
          </cell>
        </row>
        <row r="57">
          <cell r="F57">
            <v>0</v>
          </cell>
          <cell r="G57">
            <v>0</v>
          </cell>
          <cell r="H57">
            <v>0</v>
          </cell>
        </row>
        <row r="62">
          <cell r="F62">
            <v>184344236.31</v>
          </cell>
          <cell r="G62">
            <v>183008047.31</v>
          </cell>
          <cell r="H62">
            <v>174227022.31</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4"/>
    </sheetNames>
    <sheetDataSet>
      <sheetData sheetId="0">
        <row r="41">
          <cell r="C41">
            <v>28360420.48</v>
          </cell>
          <cell r="D41">
            <v>38632023.159999996</v>
          </cell>
          <cell r="E41">
            <v>48264537.369999997</v>
          </cell>
        </row>
        <row r="57">
          <cell r="C57">
            <v>0</v>
          </cell>
          <cell r="D57">
            <v>0</v>
          </cell>
          <cell r="E57">
            <v>0</v>
          </cell>
        </row>
        <row r="62">
          <cell r="C62">
            <v>190528733.62</v>
          </cell>
          <cell r="D62">
            <v>187666261.87</v>
          </cell>
          <cell r="E62">
            <v>185658893.41</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3"/>
    </sheetNames>
    <sheetDataSet>
      <sheetData sheetId="0">
        <row r="30">
          <cell r="L30">
            <v>57414200</v>
          </cell>
        </row>
        <row r="35">
          <cell r="N35">
            <v>140086428</v>
          </cell>
        </row>
        <row r="41">
          <cell r="L41">
            <v>94958211.889999986</v>
          </cell>
          <cell r="M41">
            <v>147158111.88999999</v>
          </cell>
          <cell r="N41">
            <v>16842202.889999986</v>
          </cell>
        </row>
        <row r="57">
          <cell r="L57">
            <v>0</v>
          </cell>
          <cell r="M57">
            <v>0</v>
          </cell>
          <cell r="N57">
            <v>0</v>
          </cell>
        </row>
        <row r="62">
          <cell r="L62">
            <v>198952125</v>
          </cell>
          <cell r="M62">
            <v>196589624.84999999</v>
          </cell>
          <cell r="N62">
            <v>194202985</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3"/>
    </sheetNames>
    <sheetDataSet>
      <sheetData sheetId="0">
        <row r="41">
          <cell r="I41">
            <v>90767762.350000009</v>
          </cell>
          <cell r="J41">
            <v>134698013.88999999</v>
          </cell>
          <cell r="K41">
            <v>143849435.88999999</v>
          </cell>
        </row>
        <row r="57">
          <cell r="I57">
            <v>0</v>
          </cell>
          <cell r="J57">
            <v>0</v>
          </cell>
          <cell r="K57">
            <v>0</v>
          </cell>
        </row>
        <row r="62">
          <cell r="I62">
            <v>203471716.52000001</v>
          </cell>
          <cell r="J62">
            <v>201964075.84999999</v>
          </cell>
          <cell r="K62">
            <v>200270677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9"/>
    </sheetNames>
    <sheetDataSet>
      <sheetData sheetId="0">
        <row r="42">
          <cell r="N42">
            <v>95134055</v>
          </cell>
        </row>
        <row r="59">
          <cell r="N59">
            <v>0</v>
          </cell>
        </row>
        <row r="64">
          <cell r="N64">
            <v>98828788</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2"/>
    </sheetNames>
    <sheetDataSet>
      <sheetData sheetId="0">
        <row r="30">
          <cell r="F30">
            <v>3284280</v>
          </cell>
        </row>
        <row r="41">
          <cell r="F41">
            <v>62411098.519999996</v>
          </cell>
          <cell r="G41">
            <v>71441790.719999999</v>
          </cell>
          <cell r="H41">
            <v>80251577</v>
          </cell>
        </row>
        <row r="57">
          <cell r="F57">
            <v>0</v>
          </cell>
          <cell r="G57">
            <v>0</v>
          </cell>
        </row>
        <row r="62">
          <cell r="F62">
            <v>210392545.52000001</v>
          </cell>
          <cell r="G62">
            <v>208596660.52000001</v>
          </cell>
          <cell r="H62">
            <v>206139077</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2"/>
    </sheetNames>
    <sheetDataSet>
      <sheetData sheetId="0">
        <row r="41">
          <cell r="C41">
            <v>27584277.359999999</v>
          </cell>
          <cell r="D41">
            <v>43521797.340000004</v>
          </cell>
          <cell r="E41">
            <v>55911696.800000004</v>
          </cell>
        </row>
        <row r="57">
          <cell r="C57">
            <v>0</v>
          </cell>
          <cell r="D57">
            <v>0</v>
          </cell>
          <cell r="E57">
            <v>0</v>
          </cell>
        </row>
        <row r="62">
          <cell r="C62">
            <v>224454638.83000001</v>
          </cell>
          <cell r="D62">
            <v>217141487.08000001</v>
          </cell>
          <cell r="E62">
            <v>211795702.62</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2"/>
    </sheetNames>
    <sheetDataSet>
      <sheetData sheetId="0">
        <row r="30">
          <cell r="L30">
            <v>59293250</v>
          </cell>
        </row>
        <row r="35">
          <cell r="N35">
            <v>130086428</v>
          </cell>
        </row>
        <row r="41">
          <cell r="L41">
            <v>78493587.449999988</v>
          </cell>
          <cell r="M41">
            <v>128818188.36</v>
          </cell>
          <cell r="N41">
            <v>14101674.860000014</v>
          </cell>
        </row>
        <row r="57">
          <cell r="L57">
            <v>0</v>
          </cell>
          <cell r="M57">
            <v>0</v>
          </cell>
          <cell r="N57">
            <v>0</v>
          </cell>
        </row>
        <row r="62">
          <cell r="L62">
            <v>237600196.27000001</v>
          </cell>
          <cell r="M62">
            <v>236943696.27000001</v>
          </cell>
          <cell r="N62">
            <v>236239205.52000001</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2"/>
    </sheetNames>
    <sheetDataSet>
      <sheetData sheetId="0">
        <row r="41">
          <cell r="I41">
            <v>73100654.329999998</v>
          </cell>
          <cell r="J41">
            <v>116890311.90000001</v>
          </cell>
          <cell r="K41">
            <v>128534754.80000001</v>
          </cell>
        </row>
        <row r="57">
          <cell r="I57">
            <v>0</v>
          </cell>
          <cell r="J57">
            <v>0</v>
          </cell>
          <cell r="K57">
            <v>0</v>
          </cell>
        </row>
        <row r="62">
          <cell r="I62">
            <v>242686259.94</v>
          </cell>
          <cell r="J62">
            <v>241384769.27000001</v>
          </cell>
          <cell r="K62">
            <v>239005470.27000001</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2"/>
    </sheetNames>
    <sheetDataSet>
      <sheetData sheetId="0">
        <row r="36">
          <cell r="F36">
            <v>3401597.91</v>
          </cell>
        </row>
        <row r="41">
          <cell r="F41">
            <v>45234428.019999996</v>
          </cell>
          <cell r="G41">
            <v>53879253.480000004</v>
          </cell>
          <cell r="H41">
            <v>64889625.539999999</v>
          </cell>
        </row>
        <row r="57">
          <cell r="F57">
            <v>0</v>
          </cell>
          <cell r="G57">
            <v>0</v>
          </cell>
          <cell r="H57">
            <v>0</v>
          </cell>
        </row>
        <row r="62">
          <cell r="F62">
            <v>250726957.19</v>
          </cell>
          <cell r="G62">
            <v>248638768.19</v>
          </cell>
          <cell r="H62">
            <v>244286505.94</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1"/>
    </sheetNames>
    <sheetDataSet>
      <sheetData sheetId="0">
        <row r="41">
          <cell r="C41">
            <v>19784127</v>
          </cell>
          <cell r="D41">
            <v>31539489.09</v>
          </cell>
          <cell r="E41">
            <v>41086711</v>
          </cell>
        </row>
        <row r="57">
          <cell r="C57">
            <v>0</v>
          </cell>
          <cell r="D57">
            <v>0</v>
          </cell>
          <cell r="E57">
            <v>0</v>
          </cell>
        </row>
        <row r="62">
          <cell r="C62">
            <v>258684974</v>
          </cell>
          <cell r="D62">
            <v>254249399.75</v>
          </cell>
          <cell r="E62">
            <v>251610214</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1"/>
    </sheetNames>
    <sheetDataSet>
      <sheetData sheetId="0">
        <row r="30">
          <cell r="L30">
            <v>59803400</v>
          </cell>
        </row>
        <row r="35">
          <cell r="N35">
            <v>139575000</v>
          </cell>
        </row>
        <row r="41">
          <cell r="L41">
            <v>90689334.919999987</v>
          </cell>
          <cell r="M41">
            <v>140279960.80000001</v>
          </cell>
          <cell r="N41">
            <v>15659644.150000036</v>
          </cell>
        </row>
        <row r="57">
          <cell r="L57">
            <v>0</v>
          </cell>
          <cell r="M57">
            <v>0</v>
          </cell>
          <cell r="N57">
            <v>0</v>
          </cell>
        </row>
        <row r="62">
          <cell r="L62">
            <v>264451921.81999999</v>
          </cell>
          <cell r="M62">
            <v>263755536.81999999</v>
          </cell>
          <cell r="N62">
            <v>262348010.06999999</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1"/>
    </sheetNames>
    <sheetDataSet>
      <sheetData sheetId="0">
        <row r="41">
          <cell r="I41">
            <v>81672396</v>
          </cell>
          <cell r="J41">
            <v>125222234</v>
          </cell>
          <cell r="K41">
            <v>141133775</v>
          </cell>
        </row>
        <row r="57">
          <cell r="I57">
            <v>0</v>
          </cell>
          <cell r="J57">
            <v>0</v>
          </cell>
          <cell r="K57">
            <v>0</v>
          </cell>
        </row>
        <row r="62">
          <cell r="I62">
            <v>275871796</v>
          </cell>
          <cell r="J62">
            <v>274016820</v>
          </cell>
          <cell r="K62">
            <v>265993643</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1"/>
    </sheetNames>
    <sheetDataSet>
      <sheetData sheetId="0">
        <row r="30">
          <cell r="F30">
            <v>3706836.11</v>
          </cell>
        </row>
        <row r="41">
          <cell r="F41">
            <v>53117663.490000002</v>
          </cell>
          <cell r="G41">
            <v>62862202</v>
          </cell>
          <cell r="H41">
            <v>73291722</v>
          </cell>
        </row>
        <row r="57">
          <cell r="F57">
            <v>0</v>
          </cell>
          <cell r="G57">
            <v>0</v>
          </cell>
          <cell r="H57">
            <v>0</v>
          </cell>
        </row>
        <row r="62">
          <cell r="F62">
            <v>283665638</v>
          </cell>
          <cell r="G62">
            <v>281154449</v>
          </cell>
          <cell r="H62">
            <v>277676806</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1"/>
    </sheetNames>
    <sheetDataSet>
      <sheetData sheetId="0">
        <row r="41">
          <cell r="C41">
            <v>25784816.600000001</v>
          </cell>
          <cell r="D41">
            <v>36338755.600000001</v>
          </cell>
          <cell r="E41">
            <v>46385552.600000001</v>
          </cell>
        </row>
        <row r="57">
          <cell r="C57">
            <v>0</v>
          </cell>
          <cell r="D57">
            <v>0</v>
          </cell>
          <cell r="E57">
            <v>0</v>
          </cell>
        </row>
        <row r="62">
          <cell r="C62">
            <v>290779442</v>
          </cell>
          <cell r="D62">
            <v>288125556</v>
          </cell>
          <cell r="E62">
            <v>285370086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9"/>
    </sheetNames>
    <sheetDataSet>
      <sheetData sheetId="0">
        <row r="42">
          <cell r="K42">
            <v>153993050.88</v>
          </cell>
        </row>
        <row r="59">
          <cell r="K59">
            <v>0</v>
          </cell>
        </row>
        <row r="64">
          <cell r="K64">
            <v>100230840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0"/>
    </sheetNames>
    <sheetDataSet>
      <sheetData sheetId="0">
        <row r="30">
          <cell r="L30">
            <v>61525450</v>
          </cell>
        </row>
        <row r="35">
          <cell r="N35">
            <v>195000000</v>
          </cell>
        </row>
        <row r="41">
          <cell r="L41">
            <v>133619747.58000001</v>
          </cell>
          <cell r="M41">
            <v>194645576.73000002</v>
          </cell>
          <cell r="N41">
            <v>17681538.730000019</v>
          </cell>
        </row>
        <row r="57">
          <cell r="L57">
            <v>0</v>
          </cell>
          <cell r="M57">
            <v>0</v>
          </cell>
          <cell r="N57">
            <v>0</v>
          </cell>
        </row>
        <row r="62">
          <cell r="L62">
            <v>298884570</v>
          </cell>
          <cell r="M62">
            <v>298072205</v>
          </cell>
          <cell r="N62">
            <v>297013703</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0"/>
    </sheetNames>
    <sheetDataSet>
      <sheetData sheetId="0">
        <row r="41">
          <cell r="J41">
            <v>172396450</v>
          </cell>
          <cell r="K41">
            <v>181738720.58000001</v>
          </cell>
        </row>
        <row r="57">
          <cell r="I57">
            <v>7500000</v>
          </cell>
          <cell r="J57">
            <v>7500000</v>
          </cell>
          <cell r="K57">
            <v>0</v>
          </cell>
        </row>
        <row r="62">
          <cell r="I62">
            <v>298127536</v>
          </cell>
          <cell r="J62">
            <v>296341740</v>
          </cell>
          <cell r="K62">
            <v>300871375</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0"/>
    </sheetNames>
    <sheetDataSet>
      <sheetData sheetId="0">
        <row r="30">
          <cell r="F30">
            <v>916085</v>
          </cell>
        </row>
        <row r="41">
          <cell r="I41">
            <v>108208247.61</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0"/>
    </sheetNames>
    <sheetDataSet>
      <sheetData sheetId="0">
        <row r="41">
          <cell r="F41">
            <v>86188143.609999999</v>
          </cell>
          <cell r="G41">
            <v>95071139.609999999</v>
          </cell>
          <cell r="H41">
            <v>97272320.609999999</v>
          </cell>
        </row>
        <row r="57">
          <cell r="F57">
            <v>7500000</v>
          </cell>
          <cell r="G57">
            <v>0</v>
          </cell>
          <cell r="H57">
            <v>7500000</v>
          </cell>
        </row>
        <row r="62">
          <cell r="F62">
            <v>298337114</v>
          </cell>
          <cell r="G62">
            <v>303852249</v>
          </cell>
          <cell r="H62">
            <v>300876814</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0"/>
    </sheetNames>
    <sheetDataSet>
      <sheetData sheetId="0">
        <row r="41">
          <cell r="E41">
            <v>80954345.609999999</v>
          </cell>
        </row>
        <row r="57">
          <cell r="E57">
            <v>7500000</v>
          </cell>
        </row>
        <row r="62">
          <cell r="E62">
            <v>299922055</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0"/>
    </sheetNames>
    <sheetDataSet>
      <sheetData sheetId="0">
        <row r="40">
          <cell r="D40">
            <v>65104295.609999999</v>
          </cell>
        </row>
        <row r="56">
          <cell r="D56">
            <v>7500000</v>
          </cell>
        </row>
        <row r="61">
          <cell r="D61">
            <v>302706251</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0"/>
    </sheetNames>
    <sheetDataSet>
      <sheetData sheetId="0">
        <row r="40">
          <cell r="C40">
            <v>53072817.609999999</v>
          </cell>
        </row>
        <row r="56">
          <cell r="C56">
            <v>7500000</v>
          </cell>
        </row>
        <row r="61">
          <cell r="C61">
            <v>305859746</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9"/>
    </sheetNames>
    <sheetDataSet>
      <sheetData sheetId="0">
        <row r="29">
          <cell r="L29">
            <v>60536725</v>
          </cell>
        </row>
        <row r="34">
          <cell r="M34">
            <v>228691828</v>
          </cell>
        </row>
        <row r="41">
          <cell r="L41">
            <v>203702459</v>
          </cell>
          <cell r="M41">
            <v>18530100</v>
          </cell>
          <cell r="N41">
            <v>52478675.75</v>
          </cell>
        </row>
        <row r="57">
          <cell r="L57">
            <v>7500000</v>
          </cell>
          <cell r="M57">
            <v>0</v>
          </cell>
          <cell r="N57">
            <v>0</v>
          </cell>
        </row>
        <row r="62">
          <cell r="L62">
            <v>306957972</v>
          </cell>
          <cell r="M62">
            <v>313247900</v>
          </cell>
          <cell r="N62">
            <v>312050993</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9"/>
    </sheetNames>
    <sheetDataSet>
      <sheetData sheetId="0">
        <row r="41">
          <cell r="I41">
            <v>185709404</v>
          </cell>
          <cell r="J41">
            <v>243140859</v>
          </cell>
          <cell r="K41">
            <v>253568479</v>
          </cell>
        </row>
        <row r="54">
          <cell r="I54">
            <v>7500000</v>
          </cell>
          <cell r="J54">
            <v>15000000</v>
          </cell>
          <cell r="K54">
            <v>7500000</v>
          </cell>
        </row>
        <row r="59">
          <cell r="I59">
            <v>307110099.08999997</v>
          </cell>
          <cell r="J59">
            <v>304226126</v>
          </cell>
          <cell r="K59">
            <v>308778567</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9"/>
    </sheetNames>
    <sheetDataSet>
      <sheetData sheetId="0">
        <row r="29">
          <cell r="F29">
            <v>3932745</v>
          </cell>
        </row>
        <row r="41">
          <cell r="F41">
            <v>168811202</v>
          </cell>
          <cell r="G41">
            <v>177686748</v>
          </cell>
          <cell r="H41">
            <v>182923905</v>
          </cell>
        </row>
        <row r="54">
          <cell r="F54">
            <v>5000000</v>
          </cell>
          <cell r="G54">
            <v>0</v>
          </cell>
          <cell r="H54">
            <v>0</v>
          </cell>
        </row>
        <row r="59">
          <cell r="F59">
            <v>309061475</v>
          </cell>
          <cell r="G59">
            <v>312159383</v>
          </cell>
          <cell r="H59">
            <v>309143318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9"/>
    </sheetNames>
    <sheetDataSet>
      <sheetData sheetId="0">
        <row r="33">
          <cell r="H33">
            <v>6765603</v>
          </cell>
        </row>
        <row r="42">
          <cell r="H42">
            <v>100571832</v>
          </cell>
        </row>
        <row r="59">
          <cell r="H59">
            <v>0</v>
          </cell>
        </row>
        <row r="64">
          <cell r="H64">
            <v>104056563</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9"/>
    </sheetNames>
    <sheetDataSet>
      <sheetData sheetId="0">
        <row r="41">
          <cell r="E41">
            <v>162381902</v>
          </cell>
        </row>
        <row r="54">
          <cell r="E54">
            <v>20000000</v>
          </cell>
        </row>
        <row r="59">
          <cell r="E59">
            <v>295861366</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9"/>
    </sheetNames>
    <sheetDataSet>
      <sheetData sheetId="0">
        <row r="40">
          <cell r="C40">
            <v>140238802</v>
          </cell>
          <cell r="D40">
            <v>153591847</v>
          </cell>
        </row>
        <row r="54">
          <cell r="C54">
            <v>20936997</v>
          </cell>
          <cell r="D54">
            <v>19436997</v>
          </cell>
        </row>
        <row r="59">
          <cell r="C59">
            <v>300855421</v>
          </cell>
          <cell r="D59">
            <v>297984192</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8"/>
    </sheetNames>
    <sheetDataSet>
      <sheetData sheetId="0">
        <row r="30">
          <cell r="L30">
            <v>59854275</v>
          </cell>
        </row>
        <row r="42">
          <cell r="L42">
            <v>215839634</v>
          </cell>
          <cell r="M42">
            <v>108318947</v>
          </cell>
          <cell r="N42">
            <v>151091810</v>
          </cell>
        </row>
        <row r="56">
          <cell r="L56">
            <v>0</v>
          </cell>
          <cell r="M56">
            <v>0</v>
          </cell>
          <cell r="N56">
            <v>3907075</v>
          </cell>
        </row>
        <row r="61">
          <cell r="L61">
            <v>308525658</v>
          </cell>
          <cell r="M61">
            <v>307114378</v>
          </cell>
          <cell r="N61">
            <v>305754974</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8"/>
    </sheetNames>
    <sheetDataSet>
      <sheetData sheetId="0">
        <row r="42">
          <cell r="K42">
            <v>264531972</v>
          </cell>
        </row>
        <row r="56">
          <cell r="K56">
            <v>0</v>
          </cell>
        </row>
        <row r="61">
          <cell r="K61">
            <v>310606111</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8"/>
    </sheetNames>
    <sheetDataSet>
      <sheetData sheetId="0">
        <row r="42">
          <cell r="J42">
            <v>254801875</v>
          </cell>
        </row>
        <row r="56">
          <cell r="J56">
            <v>7002530</v>
          </cell>
        </row>
        <row r="61">
          <cell r="J61">
            <v>306605279</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8"/>
    </sheetNames>
    <sheetDataSet>
      <sheetData sheetId="0">
        <row r="42">
          <cell r="I42">
            <v>190981406</v>
          </cell>
        </row>
        <row r="56">
          <cell r="I56">
            <v>7002530</v>
          </cell>
        </row>
        <row r="61">
          <cell r="I61">
            <v>309500891</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8"/>
    </sheetNames>
    <sheetDataSet>
      <sheetData sheetId="0">
        <row r="30">
          <cell r="F30">
            <v>3783428</v>
          </cell>
        </row>
        <row r="42">
          <cell r="G42">
            <v>176752557</v>
          </cell>
          <cell r="H42">
            <v>179287185</v>
          </cell>
        </row>
        <row r="56">
          <cell r="G56">
            <v>0</v>
          </cell>
          <cell r="H56">
            <v>7002530</v>
          </cell>
        </row>
        <row r="61">
          <cell r="G61">
            <v>315713566</v>
          </cell>
          <cell r="H61">
            <v>312264692</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8"/>
    </sheetNames>
    <sheetDataSet>
      <sheetData sheetId="0">
        <row r="42">
          <cell r="F42">
            <v>174588882</v>
          </cell>
        </row>
        <row r="56">
          <cell r="F56">
            <v>0</v>
          </cell>
        </row>
        <row r="61">
          <cell r="F61">
            <v>317788255</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8"/>
    </sheetNames>
    <sheetDataSet>
      <sheetData sheetId="0">
        <row r="42">
          <cell r="E42">
            <v>165596696</v>
          </cell>
        </row>
        <row r="56">
          <cell r="E56">
            <v>0</v>
          </cell>
        </row>
        <row r="61">
          <cell r="E61">
            <v>319274452.49000001</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7"/>
    </sheetNames>
    <sheetDataSet>
      <sheetData sheetId="0">
        <row r="42">
          <cell r="D42">
            <v>154973706</v>
          </cell>
        </row>
        <row r="56">
          <cell r="D56">
            <v>16080353</v>
          </cell>
        </row>
        <row r="61">
          <cell r="C61">
            <v>310159998</v>
          </cell>
          <cell r="D61">
            <v>305772455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8"/>
    </sheetNames>
    <sheetDataSet>
      <sheetData sheetId="0">
        <row r="42">
          <cell r="E42">
            <v>99019580</v>
          </cell>
        </row>
        <row r="59">
          <cell r="E59">
            <v>0</v>
          </cell>
        </row>
        <row r="64">
          <cell r="E64">
            <v>91378613</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7"/>
    </sheetNames>
    <sheetDataSet>
      <sheetData sheetId="0">
        <row r="42">
          <cell r="C42">
            <v>141863132</v>
          </cell>
        </row>
        <row r="56">
          <cell r="C56">
            <v>16080353</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7"/>
    </sheetNames>
    <sheetDataSet>
      <sheetData sheetId="0">
        <row r="42">
          <cell r="L42">
            <v>208156890.28999996</v>
          </cell>
          <cell r="M42">
            <v>99270417.289999962</v>
          </cell>
          <cell r="N42">
            <v>146283509.06999996</v>
          </cell>
        </row>
        <row r="56">
          <cell r="L56">
            <v>0</v>
          </cell>
          <cell r="M56">
            <v>0</v>
          </cell>
          <cell r="N56">
            <v>7080353</v>
          </cell>
        </row>
        <row r="61">
          <cell r="L61">
            <v>317232050</v>
          </cell>
          <cell r="M61">
            <v>315610270</v>
          </cell>
          <cell r="N61">
            <v>313838007</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7"/>
    </sheetNames>
    <sheetDataSet>
      <sheetData sheetId="0">
        <row r="30">
          <cell r="F30">
            <v>3768269</v>
          </cell>
        </row>
        <row r="42">
          <cell r="I42">
            <v>182161690.92999998</v>
          </cell>
          <cell r="J42">
            <v>242125913.28999996</v>
          </cell>
          <cell r="K42">
            <v>253516117.28999996</v>
          </cell>
        </row>
        <row r="56">
          <cell r="I56">
            <v>0</v>
          </cell>
          <cell r="J56">
            <v>0</v>
          </cell>
          <cell r="K56">
            <v>0</v>
          </cell>
        </row>
        <row r="61">
          <cell r="I61">
            <v>325575540</v>
          </cell>
          <cell r="J61">
            <v>323106569</v>
          </cell>
          <cell r="K61">
            <v>319251105.23000002</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6"/>
    </sheetNames>
    <sheetDataSet>
      <sheetData sheetId="0">
        <row r="42">
          <cell r="F42">
            <v>155132512.69</v>
          </cell>
        </row>
        <row r="43">
          <cell r="H43">
            <v>170121142.92999998</v>
          </cell>
        </row>
        <row r="61">
          <cell r="F61">
            <v>333855631</v>
          </cell>
          <cell r="G61">
            <v>331156397</v>
          </cell>
          <cell r="H61">
            <v>328247101.89999998</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7"/>
      <sheetName val="lit2006"/>
    </sheetNames>
    <sheetDataSet>
      <sheetData sheetId="0" refreshError="1">
        <row r="42">
          <cell r="G42">
            <v>159701902.16999999</v>
          </cell>
        </row>
      </sheetData>
      <sheetData sheetId="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6"/>
    </sheetNames>
    <sheetDataSet>
      <sheetData sheetId="0">
        <row r="42">
          <cell r="C42">
            <v>126690367.73999999</v>
          </cell>
          <cell r="D42">
            <v>137244957.24000001</v>
          </cell>
          <cell r="E42">
            <v>147616907.24000001</v>
          </cell>
        </row>
        <row r="56">
          <cell r="C56">
            <v>0</v>
          </cell>
          <cell r="D56">
            <v>0</v>
          </cell>
          <cell r="E56">
            <v>0</v>
          </cell>
        </row>
        <row r="61">
          <cell r="C61">
            <v>341200913.45999998</v>
          </cell>
          <cell r="D61">
            <v>338218616</v>
          </cell>
          <cell r="E61">
            <v>335797035</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6"/>
    </sheetNames>
    <sheetDataSet>
      <sheetData sheetId="0">
        <row r="30">
          <cell r="F30">
            <v>3590315</v>
          </cell>
          <cell r="L30">
            <v>58159668</v>
          </cell>
        </row>
        <row r="42">
          <cell r="N42">
            <v>119513646.56</v>
          </cell>
        </row>
        <row r="56">
          <cell r="N56">
            <v>0</v>
          </cell>
        </row>
        <row r="61">
          <cell r="N61">
            <v>346801400</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6"/>
    </sheetNames>
    <sheetDataSet>
      <sheetData sheetId="0">
        <row r="42">
          <cell r="M42">
            <v>191723156.38</v>
          </cell>
        </row>
        <row r="56">
          <cell r="M56">
            <v>0</v>
          </cell>
        </row>
        <row r="61">
          <cell r="M61">
            <v>348889845</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6"/>
    </sheetNames>
    <sheetDataSet>
      <sheetData sheetId="0">
        <row r="42">
          <cell r="L42">
            <v>183444931.38</v>
          </cell>
        </row>
        <row r="56">
          <cell r="L56">
            <v>0</v>
          </cell>
        </row>
        <row r="61">
          <cell r="L61">
            <v>350526689</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6"/>
    </sheetNames>
    <sheetDataSet>
      <sheetData sheetId="0">
        <row r="30">
          <cell r="F30">
            <v>3590315</v>
          </cell>
        </row>
        <row r="42">
          <cell r="I42">
            <v>157525730.38</v>
          </cell>
          <cell r="J42">
            <v>217608514.38</v>
          </cell>
          <cell r="K42">
            <v>229890542.38</v>
          </cell>
        </row>
        <row r="56">
          <cell r="K56">
            <v>0</v>
          </cell>
        </row>
        <row r="61">
          <cell r="K61">
            <v>352360796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8"/>
    </sheetNames>
    <sheetDataSet>
      <sheetData sheetId="0">
        <row r="42">
          <cell r="N42">
            <v>81655856</v>
          </cell>
        </row>
        <row r="59">
          <cell r="N59">
            <v>0</v>
          </cell>
        </row>
        <row r="64">
          <cell r="N64">
            <v>96554565</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6"/>
    </sheetNames>
    <sheetDataSet>
      <sheetData sheetId="0">
        <row r="30">
          <cell r="F30">
            <v>3590315</v>
          </cell>
        </row>
        <row r="42">
          <cell r="H42">
            <v>145255181.38</v>
          </cell>
        </row>
        <row r="56">
          <cell r="H56">
            <v>11907698</v>
          </cell>
          <cell r="I56">
            <v>11907698</v>
          </cell>
        </row>
        <row r="61">
          <cell r="H61">
            <v>350892364</v>
          </cell>
          <cell r="I61">
            <v>347140561</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6"/>
    </sheetNames>
    <sheetDataSet>
      <sheetData sheetId="0">
        <row r="42">
          <cell r="C42">
            <v>107889006.38</v>
          </cell>
          <cell r="D42">
            <v>118850900.38</v>
          </cell>
          <cell r="E42">
            <v>129235107.38</v>
          </cell>
          <cell r="F42">
            <v>135128930.38</v>
          </cell>
          <cell r="G42">
            <v>132597870.38</v>
          </cell>
        </row>
        <row r="56">
          <cell r="C56">
            <v>11800956</v>
          </cell>
          <cell r="D56">
            <v>11800956</v>
          </cell>
          <cell r="E56">
            <v>11907698</v>
          </cell>
          <cell r="F56">
            <v>11907698</v>
          </cell>
          <cell r="G56">
            <v>11907698</v>
          </cell>
        </row>
        <row r="61">
          <cell r="C61">
            <v>363266351</v>
          </cell>
          <cell r="D61">
            <v>360277653</v>
          </cell>
          <cell r="E61">
            <v>357468823</v>
          </cell>
          <cell r="F61">
            <v>356293012</v>
          </cell>
          <cell r="G61">
            <v>353040406</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2006"/>
    </sheetNames>
    <sheetDataSet>
      <sheetData sheetId="0">
        <row r="30">
          <cell r="F30">
            <v>3590315</v>
          </cell>
        </row>
        <row r="56">
          <cell r="J56">
            <v>11907698</v>
          </cell>
        </row>
        <row r="61">
          <cell r="J61">
            <v>344609514</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8 thru 6-19"/>
      <sheetName val="Disbursements 7-17 thru 6-18"/>
      <sheetName val="Disbursements 7-16 thru 6-17"/>
      <sheetName val="Disbursements 7-15 thru 6-16"/>
      <sheetName val="Disbursements 7-14 thru 6-15"/>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 val="eee"/>
    </sheetNames>
    <sheetDataSet>
      <sheetData sheetId="0">
        <row r="30">
          <cell r="EV30">
            <v>914291.93999997829</v>
          </cell>
          <cell r="EW30">
            <v>10285077.939999979</v>
          </cell>
          <cell r="EY30">
            <v>266126.93999997899</v>
          </cell>
          <cell r="FA30">
            <v>7499999.9999999786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7 thru 6-18"/>
      <sheetName val="Disbursements 7-16 thru 6-17"/>
      <sheetName val="Disbursements 7-15 thru 6-16"/>
      <sheetName val="Disbursements 7-14 thru 6-15"/>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 val="eee"/>
    </sheetNames>
    <sheetDataSet>
      <sheetData sheetId="0">
        <row r="29">
          <cell r="EU29">
            <v>1053122.9399999783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6 thru 6-17"/>
      <sheetName val="Disbursements 7-15 thru 6-16"/>
      <sheetName val="Disbursements 7-14 thru 6-15"/>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 val="eee"/>
    </sheetNames>
    <sheetDataSet>
      <sheetData sheetId="0">
        <row r="29">
          <cell r="EU29">
            <v>1053122.9399999783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6 thru 6-17"/>
      <sheetName val="Disbursements 7-15 thru 6-16"/>
      <sheetName val="Disbursements 7-14 thru 6-15"/>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 val="eee"/>
    </sheetNames>
    <sheetDataSet>
      <sheetData sheetId="0">
        <row r="29">
          <cell r="EO29">
            <v>1208268.0899999784</v>
          </cell>
          <cell r="EP29">
            <v>1208268.0899999784</v>
          </cell>
          <cell r="EQ29">
            <v>1208268.0899999784</v>
          </cell>
          <cell r="ET29">
            <v>1207108.4899999783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6 thru 6-16"/>
      <sheetName val="Disbursements 7-15 thru 12-15"/>
      <sheetName val="Disbursements 7-14 thru 6-15"/>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9">
          <cell r="EI29">
            <v>16211437.129999978</v>
          </cell>
          <cell r="EJ29">
            <v>8711437.1299999785</v>
          </cell>
          <cell r="EK29">
            <v>13698610.129999978</v>
          </cell>
          <cell r="EL29">
            <v>6198610.1299999785</v>
          </cell>
          <cell r="EM29">
            <v>1208268.0899999784</v>
          </cell>
          <cell r="EN29">
            <v>1208268.0899999784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5 thru 12-15"/>
      <sheetName val="Disbursements 7-14 thru 6-15"/>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6">
          <cell r="EG26">
            <v>1211437.1299999785</v>
          </cell>
          <cell r="EH26">
            <v>1211437.1299999785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4 thru 6-15"/>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1">
          <cell r="EC21">
            <v>1231437.1299999785</v>
          </cell>
          <cell r="ED21">
            <v>1231437.1299999785</v>
          </cell>
        </row>
        <row r="26">
          <cell r="DZ26">
            <v>1231437.1299999785</v>
          </cell>
          <cell r="EA26">
            <v>1231437.1299999785</v>
          </cell>
          <cell r="EB26">
            <v>1231437.1299999785</v>
          </cell>
          <cell r="EF26">
            <v>1231437.1299999785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8"/>
    </sheetNames>
    <sheetDataSet>
      <sheetData sheetId="0">
        <row r="30">
          <cell r="K30"/>
        </row>
        <row r="33">
          <cell r="K33"/>
        </row>
        <row r="42">
          <cell r="K42">
            <v>209401868</v>
          </cell>
        </row>
        <row r="59">
          <cell r="K59">
            <v>0</v>
          </cell>
        </row>
        <row r="64">
          <cell r="K64">
            <v>98364226</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4 thru 3-15"/>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6">
          <cell r="DW26">
            <v>1231437.1299999785</v>
          </cell>
          <cell r="DX26">
            <v>1231437.1299999785</v>
          </cell>
          <cell r="DY26">
            <v>1231437.1299999785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4 thru 12-14"/>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6">
          <cell r="DT26">
            <v>1231437.1299999785</v>
          </cell>
          <cell r="DU26">
            <v>1231437.1299999785</v>
          </cell>
          <cell r="DV26">
            <v>1231437.1299999785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4 thru 9-14"/>
      <sheetName val="Disbursements 7-13 thru 6-14"/>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efreshError="1">
        <row r="26">
          <cell r="DQ26">
            <v>1363115.1299999785</v>
          </cell>
          <cell r="DR26">
            <v>1299215.1299999785</v>
          </cell>
          <cell r="DS26">
            <v>1231437.1299999785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1-14 thru 3-14"/>
      <sheetName val="Disbursements 7-13 thru 12-13"/>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efreshError="1">
        <row r="26">
          <cell r="DK26">
            <v>1363115.1299999785</v>
          </cell>
          <cell r="DL26">
            <v>1363115.1299999785</v>
          </cell>
          <cell r="DM26">
            <v>1363115.1299999785</v>
          </cell>
          <cell r="DN26">
            <v>1363115.1299999785</v>
          </cell>
          <cell r="DO26">
            <v>1363115.1299999785</v>
          </cell>
          <cell r="DP26">
            <v>1363115.1299999785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3 thru 9-13"/>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6">
          <cell r="DH26">
            <v>2072265.6299999785</v>
          </cell>
          <cell r="DI26">
            <v>2072265.6299999785</v>
          </cell>
          <cell r="DJ26">
            <v>2072265.6299999785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3 thru 9-13"/>
      <sheetName val="Disbursements 1-13 thru 6-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6">
          <cell r="DB26">
            <v>2072265.6299999785</v>
          </cell>
          <cell r="DC26">
            <v>2072265.6299999785</v>
          </cell>
          <cell r="DD26">
            <v>2072265.6299999785</v>
          </cell>
          <cell r="DE26">
            <v>2072265.6299999785</v>
          </cell>
          <cell r="DF26">
            <v>2072265.6299999785</v>
          </cell>
          <cell r="DG26">
            <v>2072265.6299999785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1-13 thru 3-13"/>
      <sheetName val="Disbursements 7-12 thru 12-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efreshError="1">
        <row r="26">
          <cell r="CV26">
            <v>2116722.8999999785</v>
          </cell>
          <cell r="CW26">
            <v>2116722.8999999785</v>
          </cell>
          <cell r="CX26">
            <v>2072265.6299999785</v>
          </cell>
          <cell r="CY26">
            <v>2072265.6299999785</v>
          </cell>
          <cell r="CZ26">
            <v>2072265.6299999785</v>
          </cell>
          <cell r="DA26">
            <v>2072265.6299999785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2 thru 9-12"/>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8">
          <cell r="CS28">
            <v>2116722.8999999785</v>
          </cell>
          <cell r="CT28">
            <v>2116722.8999999785</v>
          </cell>
          <cell r="CU28">
            <v>2116722.8999999785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4-12 thru 6-12"/>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8">
          <cell r="CP28">
            <v>2553672.8999999785</v>
          </cell>
          <cell r="CQ28">
            <v>2553672.8999999785</v>
          </cell>
          <cell r="CR28">
            <v>2116722.8999999785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1-12 thru 3-12"/>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31">
          <cell r="CM31">
            <v>2692675.6099999784</v>
          </cell>
          <cell r="CN31">
            <v>2624204.5099999784</v>
          </cell>
          <cell r="CO31">
            <v>2624204.5099999784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2018"/>
    </sheetNames>
    <sheetDataSet>
      <sheetData sheetId="0">
        <row r="30">
          <cell r="H30"/>
        </row>
        <row r="33">
          <cell r="H33"/>
        </row>
        <row r="42">
          <cell r="H42">
            <v>114717074</v>
          </cell>
        </row>
        <row r="59">
          <cell r="H59">
            <v>0</v>
          </cell>
        </row>
        <row r="64">
          <cell r="H64">
            <v>102643753</v>
          </cell>
        </row>
      </sheetData>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10-11 thru 12-11"/>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31">
          <cell r="CJ31">
            <v>2776356.1899999785</v>
          </cell>
          <cell r="CK31">
            <v>2707557.8499999787</v>
          </cell>
          <cell r="CL31">
            <v>2692675.6099999784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31">
          <cell r="CG31">
            <v>3811252.0399999786</v>
          </cell>
          <cell r="CH31">
            <v>3307334.8199999784</v>
          </cell>
          <cell r="CI31">
            <v>2922868.8699999787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1 thru 9-11"/>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34">
          <cell r="CD34">
            <v>4292702.2599999784</v>
          </cell>
          <cell r="CE34">
            <v>4292702.2599999784</v>
          </cell>
          <cell r="CF34">
            <v>4257297.1199999787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1-11 thru 6-11"/>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28">
          <cell r="G28">
            <v>4292702.26</v>
          </cell>
        </row>
        <row r="35">
          <cell r="CA35">
            <v>4334686.2099999785</v>
          </cell>
          <cell r="CB35">
            <v>4334686.2099999785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10 thru 12-10"/>
      <sheetName val="Disbursements 1-10 thru 6-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36">
          <cell r="BR36">
            <v>4334686.2099999785</v>
          </cell>
          <cell r="BS36">
            <v>4334686.2099999785</v>
          </cell>
          <cell r="BT36">
            <v>4334686.2099999785</v>
          </cell>
          <cell r="BU36">
            <v>4334686.2099999785</v>
          </cell>
          <cell r="BV36">
            <v>4334686.2099999785</v>
          </cell>
          <cell r="BW36">
            <v>4334686.2099999785</v>
          </cell>
          <cell r="BX36">
            <v>4334686.2099999785</v>
          </cell>
          <cell r="BY36">
            <v>4334686.2099999785</v>
          </cell>
          <cell r="BZ36">
            <v>4334686.2099999785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1-10 thru 3-10"/>
      <sheetName val="Disbursements 11-09 thru 12-09"/>
      <sheetName val="Disbursements 10-09 "/>
      <sheetName val="Disbursements 8-09 thru 9-09"/>
      <sheetName val="Disbursements 7-09"/>
      <sheetName val="Disbursements 6-09"/>
      <sheetName val="Disbursements 5-09"/>
      <sheetName val="Disbursements 4-09"/>
      <sheetName val="Dirbursements 3-09"/>
      <sheetName val="Disbursements 12-08"/>
      <sheetName val="Subsidy Disbursements 12-08"/>
      <sheetName val="Disbursements 11-08"/>
      <sheetName val="Disbursements 10-08"/>
      <sheetName val="Disbursements 9-08"/>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36">
          <cell r="BO36">
            <v>4607620.7099999785</v>
          </cell>
          <cell r="BP36">
            <v>4607620.7099999785</v>
          </cell>
          <cell r="BQ36">
            <v>4334686.2099999785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7-08"/>
      <sheetName val="Disbursements 6-08"/>
      <sheetName val="Disbursements 5-08"/>
      <sheetName val="Subsidy Disbursements 5-08"/>
      <sheetName val="Disbursements 4-08"/>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 val="PRELIM Disbursements 6-08"/>
    </sheetNames>
    <sheetDataSet>
      <sheetData sheetId="0">
        <row r="57">
          <cell r="G57">
            <v>57532159.43000003</v>
          </cell>
        </row>
        <row r="64">
          <cell r="AT64">
            <v>66256386.509999983</v>
          </cell>
          <cell r="AU64">
            <v>64353746.539999984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3-08"/>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68">
          <cell r="AS68">
            <v>66549648.919999987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Disbursements 2-08"/>
      <sheetName val="Disbursements 1-08"/>
      <sheetName val="Disbursements 12-07"/>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57">
          <cell r="AN57">
            <v>39986170.93999999</v>
          </cell>
          <cell r="AO57">
            <v>24464179.629999988</v>
          </cell>
          <cell r="AP57">
            <v>24464179.629999988</v>
          </cell>
          <cell r="AQ57">
            <v>67351201.279999986</v>
          </cell>
          <cell r="AR57">
            <v>67347636.349999979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Projects - Att B"/>
      <sheetName val="Completed Reimb - Att C"/>
      <sheetName val="Preliminary Disbursements 11-07"/>
      <sheetName val="Disbursements 7-07"/>
      <sheetName val="Completed Reim 6-07"/>
      <sheetName val="Disbursements 12-06"/>
      <sheetName val="Disbursements Table 12-06"/>
      <sheetName val="Disbursements 9-06"/>
      <sheetName val="Disbursements 6-06"/>
      <sheetName val="Disbursements 3-06"/>
      <sheetName val="Active Payment - Franklin"/>
      <sheetName val="Active Payment - Nandua"/>
    </sheetNames>
    <sheetDataSet>
      <sheetData sheetId="0">
        <row r="52">
          <cell r="AK52">
            <v>24853667.639999989</v>
          </cell>
          <cell r="AL52">
            <v>23353667.639999989</v>
          </cell>
          <cell r="AM52">
            <v>23353667.639999989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70"/>
  <sheetViews>
    <sheetView tabSelected="1" zoomScale="75" zoomScaleNormal="75" workbookViewId="0">
      <selection activeCell="C46" sqref="C46"/>
    </sheetView>
  </sheetViews>
  <sheetFormatPr defaultColWidth="9.77734375" defaultRowHeight="16.149999999999999" customHeight="1" x14ac:dyDescent="0.2"/>
  <cols>
    <col min="1" max="1" width="9.21875" style="46" customWidth="1"/>
    <col min="2" max="2" width="71" style="41" customWidth="1"/>
    <col min="3" max="3" width="16.21875" style="41" bestFit="1" customWidth="1"/>
    <col min="4" max="4" width="16.21875" style="41" customWidth="1"/>
    <col min="5" max="5" width="16.44140625" style="41" bestFit="1" customWidth="1"/>
    <col min="6" max="6" width="7.5546875" style="41" customWidth="1"/>
    <col min="7" max="7" width="17.77734375" style="41" hidden="1" customWidth="1"/>
    <col min="8" max="8" width="18.5546875" style="41" customWidth="1"/>
    <col min="9" max="9" width="29.109375" style="41" customWidth="1"/>
    <col min="10" max="10" width="9.77734375" style="41"/>
    <col min="11" max="11" width="14" style="41" bestFit="1" customWidth="1"/>
    <col min="12" max="16384" width="9.77734375" style="41"/>
  </cols>
  <sheetData>
    <row r="1" spans="1:9" ht="16.149999999999999" customHeight="1" x14ac:dyDescent="0.2">
      <c r="A1" s="269" t="s">
        <v>48</v>
      </c>
      <c r="B1" s="269"/>
      <c r="C1" s="269"/>
      <c r="D1" s="269"/>
      <c r="E1" s="269"/>
      <c r="F1" s="42"/>
      <c r="G1" s="42"/>
    </row>
    <row r="2" spans="1:9" ht="16.149999999999999" customHeight="1" x14ac:dyDescent="0.2">
      <c r="A2" s="270" t="s">
        <v>63</v>
      </c>
      <c r="B2" s="270"/>
      <c r="C2" s="270"/>
      <c r="D2" s="270"/>
      <c r="E2" s="270"/>
      <c r="F2" s="172"/>
      <c r="G2" s="172"/>
    </row>
    <row r="3" spans="1:9" ht="16.149999999999999" customHeight="1" x14ac:dyDescent="0.2">
      <c r="A3" s="172"/>
      <c r="B3" s="172"/>
      <c r="C3" s="172"/>
      <c r="D3" s="172"/>
      <c r="E3" s="172"/>
      <c r="F3" s="172"/>
      <c r="G3" s="172"/>
    </row>
    <row r="4" spans="1:9" ht="16.149999999999999" customHeight="1" x14ac:dyDescent="0.2">
      <c r="A4" s="244" t="s">
        <v>3</v>
      </c>
      <c r="B4" s="39"/>
    </row>
    <row r="5" spans="1:9" ht="24" customHeight="1" x14ac:dyDescent="0.2">
      <c r="A5" s="245" t="s">
        <v>2</v>
      </c>
      <c r="B5" s="55" t="s">
        <v>0</v>
      </c>
      <c r="C5" s="247">
        <v>43921</v>
      </c>
      <c r="D5" s="247">
        <v>43830</v>
      </c>
      <c r="E5" s="44" t="s">
        <v>15</v>
      </c>
      <c r="G5" s="41" t="s">
        <v>34</v>
      </c>
    </row>
    <row r="6" spans="1:9" ht="19.5" customHeight="1" x14ac:dyDescent="0.2">
      <c r="A6" s="45">
        <v>1</v>
      </c>
      <c r="B6" s="40" t="s">
        <v>4</v>
      </c>
      <c r="C6" s="248">
        <f>'Source Data'!C8</f>
        <v>183909305</v>
      </c>
      <c r="D6" s="248">
        <f>'Source Data'!D8</f>
        <v>127947580</v>
      </c>
      <c r="E6" s="234">
        <f>SUM(C6-D6)</f>
        <v>55961725</v>
      </c>
      <c r="F6" s="41" t="s">
        <v>23</v>
      </c>
      <c r="I6" s="46"/>
    </row>
    <row r="7" spans="1:9" ht="8.25" customHeight="1" x14ac:dyDescent="0.2">
      <c r="A7" s="39"/>
      <c r="B7" s="43"/>
      <c r="C7" s="249"/>
      <c r="D7" s="249"/>
      <c r="E7" s="136"/>
    </row>
    <row r="8" spans="1:9" ht="19.5" customHeight="1" x14ac:dyDescent="0.2">
      <c r="A8" s="45">
        <v>2</v>
      </c>
      <c r="B8" s="40" t="s">
        <v>24</v>
      </c>
      <c r="C8" s="248">
        <f>'Source Data'!C10</f>
        <v>0</v>
      </c>
      <c r="D8" s="248">
        <f>'Source Data'!D10</f>
        <v>0</v>
      </c>
      <c r="E8" s="234">
        <f>SUM(C8-D8)</f>
        <v>0</v>
      </c>
      <c r="I8" s="48"/>
    </row>
    <row r="9" spans="1:9" ht="8.25" customHeight="1" x14ac:dyDescent="0.2">
      <c r="A9" s="39"/>
      <c r="B9" s="43"/>
      <c r="C9" s="249"/>
      <c r="D9" s="249"/>
      <c r="E9" s="136"/>
      <c r="F9" s="41" t="s">
        <v>23</v>
      </c>
    </row>
    <row r="10" spans="1:9" ht="19.5" customHeight="1" thickBot="1" x14ac:dyDescent="0.25">
      <c r="A10" s="118">
        <v>3</v>
      </c>
      <c r="B10" s="40" t="s">
        <v>6</v>
      </c>
      <c r="C10" s="250">
        <f>'Source Data'!C14</f>
        <v>87873078.719999999</v>
      </c>
      <c r="D10" s="250">
        <f>'Source Data'!D14</f>
        <v>91582380</v>
      </c>
      <c r="E10" s="211">
        <f>SUM(C10-D10)</f>
        <v>-3709301.2800000012</v>
      </c>
      <c r="I10" s="48"/>
    </row>
    <row r="11" spans="1:9" ht="8.25" customHeight="1" thickTop="1" x14ac:dyDescent="0.2">
      <c r="A11" s="119"/>
      <c r="B11" s="43"/>
      <c r="C11" s="249"/>
      <c r="D11" s="249"/>
      <c r="E11" s="136"/>
    </row>
    <row r="12" spans="1:9" ht="19.5" customHeight="1" x14ac:dyDescent="0.2">
      <c r="A12" s="118">
        <v>4</v>
      </c>
      <c r="B12" s="39" t="s">
        <v>29</v>
      </c>
      <c r="C12" s="251">
        <f>'Source Data'!C16</f>
        <v>271782383.72000003</v>
      </c>
      <c r="D12" s="251">
        <f>'Source Data'!D16</f>
        <v>219529960</v>
      </c>
      <c r="E12" s="225">
        <f>SUM(C12-D12)</f>
        <v>52252423.720000029</v>
      </c>
      <c r="G12" s="49"/>
      <c r="I12" s="48"/>
    </row>
    <row r="13" spans="1:9" ht="12" customHeight="1" x14ac:dyDescent="0.2">
      <c r="A13" s="120"/>
      <c r="B13" s="50"/>
      <c r="C13" s="252"/>
      <c r="D13" s="252"/>
      <c r="E13" s="136"/>
      <c r="I13" s="48"/>
    </row>
    <row r="14" spans="1:9" ht="24" customHeight="1" x14ac:dyDescent="0.2">
      <c r="A14" s="120" t="s">
        <v>23</v>
      </c>
      <c r="B14" s="51" t="s">
        <v>10</v>
      </c>
      <c r="C14" s="253"/>
      <c r="D14" s="253"/>
      <c r="E14" s="136"/>
      <c r="G14" s="41" t="s">
        <v>23</v>
      </c>
      <c r="I14" s="48"/>
    </row>
    <row r="15" spans="1:9" ht="8.25" customHeight="1" x14ac:dyDescent="0.2">
      <c r="A15" s="119"/>
      <c r="B15" s="162" t="s">
        <v>23</v>
      </c>
      <c r="C15" s="254"/>
      <c r="D15" s="254"/>
      <c r="E15" s="136"/>
    </row>
    <row r="16" spans="1:9" ht="19.5" customHeight="1" x14ac:dyDescent="0.25">
      <c r="A16" s="118">
        <v>5</v>
      </c>
      <c r="B16" s="9" t="s">
        <v>1</v>
      </c>
      <c r="C16" s="240">
        <f>'Source Data'!C19</f>
        <v>0</v>
      </c>
      <c r="D16" s="240">
        <f>'Source Data'!D19</f>
        <v>0</v>
      </c>
      <c r="E16" s="136">
        <f>SUM(C16-D16)</f>
        <v>0</v>
      </c>
      <c r="I16" s="48"/>
    </row>
    <row r="17" spans="1:5" ht="8.25" customHeight="1" x14ac:dyDescent="0.2">
      <c r="A17" s="119"/>
      <c r="B17" s="162" t="s">
        <v>23</v>
      </c>
      <c r="C17" s="254"/>
      <c r="D17" s="254"/>
      <c r="E17" s="136"/>
    </row>
    <row r="18" spans="1:5" ht="19.5" customHeight="1" x14ac:dyDescent="0.25">
      <c r="A18" s="118">
        <v>6</v>
      </c>
      <c r="B18" s="9" t="s">
        <v>47</v>
      </c>
      <c r="C18" s="240">
        <f>'Source Data'!C21</f>
        <v>62365167</v>
      </c>
      <c r="D18" s="240">
        <f>'Source Data'!D21</f>
        <v>62365167</v>
      </c>
      <c r="E18" s="234">
        <f>SUM(C18-D18)</f>
        <v>0</v>
      </c>
    </row>
    <row r="19" spans="1:5" ht="8.25" customHeight="1" x14ac:dyDescent="0.2">
      <c r="A19" s="119"/>
      <c r="B19" s="43"/>
      <c r="C19" s="255"/>
      <c r="D19" s="255"/>
      <c r="E19" s="136"/>
    </row>
    <row r="20" spans="1:5" ht="19.5" customHeight="1" x14ac:dyDescent="0.25">
      <c r="A20" s="118">
        <v>7</v>
      </c>
      <c r="B20" s="9" t="s">
        <v>55</v>
      </c>
      <c r="C20" s="240">
        <f>30000000-7500000</f>
        <v>22500000</v>
      </c>
      <c r="D20" s="240">
        <f>30000000-7500000</f>
        <v>22500000</v>
      </c>
      <c r="E20" s="234">
        <f>SUM(C20-D20)</f>
        <v>0</v>
      </c>
    </row>
    <row r="21" spans="1:5" ht="8.25" customHeight="1" x14ac:dyDescent="0.2">
      <c r="A21" s="119"/>
      <c r="B21" s="43"/>
      <c r="C21" s="255"/>
      <c r="D21" s="255"/>
      <c r="E21" s="136"/>
    </row>
    <row r="22" spans="1:5" ht="19.5" customHeight="1" x14ac:dyDescent="0.25">
      <c r="A22" s="118">
        <v>8</v>
      </c>
      <c r="B22" s="9" t="s">
        <v>56</v>
      </c>
      <c r="C22" s="240">
        <v>5000000</v>
      </c>
      <c r="D22" s="240">
        <v>5000000</v>
      </c>
      <c r="E22" s="234">
        <f>SUM(C22-D22)</f>
        <v>0</v>
      </c>
    </row>
    <row r="23" spans="1:5" ht="8.25" customHeight="1" x14ac:dyDescent="0.2">
      <c r="A23" s="119"/>
      <c r="B23" s="43"/>
      <c r="C23" s="255"/>
      <c r="D23" s="255"/>
      <c r="E23" s="136"/>
    </row>
    <row r="24" spans="1:5" ht="18.75" hidden="1" customHeight="1" x14ac:dyDescent="0.2">
      <c r="B24" s="40" t="s">
        <v>7</v>
      </c>
      <c r="C24" s="256"/>
      <c r="D24" s="256"/>
      <c r="E24" s="136" t="e">
        <f>SUM(#REF!-#REF!)</f>
        <v>#REF!</v>
      </c>
    </row>
    <row r="25" spans="1:5" ht="8.25" hidden="1" customHeight="1" x14ac:dyDescent="0.2">
      <c r="A25" s="119"/>
      <c r="B25" s="43"/>
      <c r="C25" s="255"/>
      <c r="D25" s="255"/>
      <c r="E25" s="136" t="e">
        <f>SUM(#REF!-#REF!)</f>
        <v>#REF!</v>
      </c>
    </row>
    <row r="26" spans="1:5" ht="19.5" customHeight="1" x14ac:dyDescent="0.25">
      <c r="A26" s="118">
        <v>9</v>
      </c>
      <c r="B26" s="9" t="s">
        <v>58</v>
      </c>
      <c r="C26" s="240">
        <f>'Source Data'!C27</f>
        <v>5916825.6100000003</v>
      </c>
      <c r="D26" s="240">
        <f>'Source Data'!D27</f>
        <v>5916825.6100000003</v>
      </c>
      <c r="E26" s="234">
        <f>SUM(C26-D26)</f>
        <v>0</v>
      </c>
    </row>
    <row r="27" spans="1:5" ht="8.25" customHeight="1" x14ac:dyDescent="0.2">
      <c r="A27" s="119"/>
      <c r="B27" s="43"/>
      <c r="C27" s="255"/>
      <c r="D27" s="255"/>
      <c r="E27" s="136"/>
    </row>
    <row r="28" spans="1:5" ht="19.5" customHeight="1" x14ac:dyDescent="0.25">
      <c r="A28" s="118">
        <v>10</v>
      </c>
      <c r="B28" s="9" t="s">
        <v>59</v>
      </c>
      <c r="C28" s="257">
        <f>'Source Data'!C31</f>
        <v>136349570</v>
      </c>
      <c r="D28" s="257">
        <f>'Source Data'!D31</f>
        <v>136349570</v>
      </c>
      <c r="E28" s="238">
        <f>SUM(C28-D28)</f>
        <v>0</v>
      </c>
    </row>
    <row r="29" spans="1:5" ht="15.75" hidden="1" x14ac:dyDescent="0.2">
      <c r="A29" s="118">
        <v>10</v>
      </c>
      <c r="B29" s="40" t="s">
        <v>44</v>
      </c>
      <c r="C29" s="256"/>
      <c r="D29" s="256"/>
      <c r="E29" s="136">
        <v>-192884000</v>
      </c>
    </row>
    <row r="30" spans="1:5" ht="7.5" hidden="1" customHeight="1" x14ac:dyDescent="0.2">
      <c r="A30" s="118"/>
      <c r="B30" s="40"/>
      <c r="C30" s="256"/>
      <c r="D30" s="256"/>
      <c r="E30" s="136"/>
    </row>
    <row r="31" spans="1:5" ht="15.75" hidden="1" x14ac:dyDescent="0.25">
      <c r="A31" s="118">
        <v>10</v>
      </c>
      <c r="B31" s="158" t="s">
        <v>36</v>
      </c>
      <c r="C31" s="190"/>
      <c r="D31" s="190"/>
      <c r="E31" s="136" t="e">
        <f>SUM(#REF!-#REF!)</f>
        <v>#REF!</v>
      </c>
    </row>
    <row r="32" spans="1:5" ht="17.25" hidden="1" customHeight="1" x14ac:dyDescent="0.2">
      <c r="A32" s="47"/>
      <c r="B32" s="39" t="s">
        <v>37</v>
      </c>
      <c r="C32" s="258"/>
      <c r="D32" s="258"/>
      <c r="E32" s="136"/>
    </row>
    <row r="33" spans="1:7" ht="8.25" hidden="1" customHeight="1" x14ac:dyDescent="0.2">
      <c r="A33" s="45"/>
      <c r="B33" s="39"/>
      <c r="C33" s="258"/>
      <c r="D33" s="258"/>
      <c r="E33" s="136"/>
    </row>
    <row r="34" spans="1:7" ht="17.25" hidden="1" customHeight="1" x14ac:dyDescent="0.25">
      <c r="A34" s="47">
        <v>10</v>
      </c>
      <c r="B34" s="191" t="s">
        <v>45</v>
      </c>
      <c r="C34" s="201"/>
      <c r="D34" s="201"/>
      <c r="E34" s="136" t="e">
        <f>SUM(#REF!-#REF!)</f>
        <v>#REF!</v>
      </c>
    </row>
    <row r="35" spans="1:7" ht="17.25" hidden="1" customHeight="1" thickBot="1" x14ac:dyDescent="0.3">
      <c r="A35" s="45"/>
      <c r="B35" s="191" t="s">
        <v>42</v>
      </c>
      <c r="C35" s="201"/>
      <c r="D35" s="201"/>
      <c r="E35" s="136"/>
    </row>
    <row r="36" spans="1:7" ht="8.25" hidden="1" customHeight="1" x14ac:dyDescent="0.2">
      <c r="A36" s="45"/>
      <c r="B36" s="39"/>
      <c r="C36" s="258"/>
      <c r="D36" s="258"/>
      <c r="E36" s="133"/>
    </row>
    <row r="37" spans="1:7" ht="8.25" customHeight="1" x14ac:dyDescent="0.2">
      <c r="A37" s="45"/>
      <c r="B37" s="39"/>
      <c r="C37" s="258"/>
      <c r="D37" s="258"/>
      <c r="E37" s="133"/>
    </row>
    <row r="38" spans="1:7" ht="40.5" customHeight="1" thickBot="1" x14ac:dyDescent="0.3">
      <c r="A38" s="47">
        <v>11</v>
      </c>
      <c r="B38" s="237" t="s">
        <v>52</v>
      </c>
      <c r="C38" s="259">
        <f>'Source Data'!C39</f>
        <v>0</v>
      </c>
      <c r="D38" s="259">
        <f>'Source Data'!D39</f>
        <v>0</v>
      </c>
      <c r="E38" s="211">
        <f>SUM(C38-D38)</f>
        <v>0</v>
      </c>
    </row>
    <row r="39" spans="1:7" ht="8.25" customHeight="1" thickTop="1" x14ac:dyDescent="0.2">
      <c r="A39" s="45"/>
      <c r="B39" s="39"/>
      <c r="C39" s="258"/>
      <c r="D39" s="258"/>
      <c r="E39" s="133"/>
    </row>
    <row r="40" spans="1:7" ht="19.5" customHeight="1" x14ac:dyDescent="0.2">
      <c r="A40" s="47">
        <v>12</v>
      </c>
      <c r="B40" s="39" t="s">
        <v>35</v>
      </c>
      <c r="C40" s="260">
        <f>SUM(C16:C38)</f>
        <v>232131562.61000001</v>
      </c>
      <c r="D40" s="260">
        <f>SUM(D16:D38)</f>
        <v>232131562.61000001</v>
      </c>
      <c r="E40" s="260">
        <f>C40-D40</f>
        <v>0</v>
      </c>
      <c r="G40" s="52" t="s">
        <v>23</v>
      </c>
    </row>
    <row r="41" spans="1:7" ht="12" customHeight="1" x14ac:dyDescent="0.2">
      <c r="A41" s="45"/>
      <c r="B41" s="39"/>
      <c r="C41" s="258"/>
      <c r="D41" s="258"/>
      <c r="E41" s="133"/>
    </row>
    <row r="42" spans="1:7" ht="24" customHeight="1" x14ac:dyDescent="0.2">
      <c r="A42" s="47"/>
      <c r="B42" s="53" t="s">
        <v>9</v>
      </c>
      <c r="C42" s="261"/>
      <c r="D42" s="261"/>
      <c r="E42" s="132"/>
    </row>
    <row r="43" spans="1:7" ht="8.25" customHeight="1" x14ac:dyDescent="0.2">
      <c r="A43" s="39"/>
      <c r="B43" s="43"/>
      <c r="C43" s="255"/>
      <c r="D43" s="255"/>
      <c r="E43" s="43"/>
    </row>
    <row r="44" spans="1:7" ht="19.5" customHeight="1" x14ac:dyDescent="0.2">
      <c r="A44" s="45">
        <v>13</v>
      </c>
      <c r="B44" s="169" t="s">
        <v>8</v>
      </c>
      <c r="C44" s="248">
        <f>'Source Data'!C8</f>
        <v>183909305</v>
      </c>
      <c r="D44" s="248">
        <f>'Source Data'!D8</f>
        <v>127947580</v>
      </c>
      <c r="E44" s="234">
        <f>SUM(C44-D44)</f>
        <v>55961725</v>
      </c>
    </row>
    <row r="45" spans="1:7" ht="8.25" customHeight="1" x14ac:dyDescent="0.2">
      <c r="A45" s="39" t="s">
        <v>23</v>
      </c>
      <c r="B45" s="43"/>
      <c r="C45" s="255"/>
      <c r="D45" s="255"/>
      <c r="E45" s="43"/>
    </row>
    <row r="46" spans="1:7" ht="19.5" customHeight="1" thickBot="1" x14ac:dyDescent="0.25">
      <c r="A46" s="45">
        <v>14</v>
      </c>
      <c r="B46" s="40" t="s">
        <v>50</v>
      </c>
      <c r="C46" s="250">
        <f>C40</f>
        <v>232131562.61000001</v>
      </c>
      <c r="D46" s="250">
        <f>D40</f>
        <v>232131562.61000001</v>
      </c>
      <c r="E46" s="211">
        <f>SUM(C46-D46)</f>
        <v>0</v>
      </c>
    </row>
    <row r="47" spans="1:7" ht="8.25" customHeight="1" thickTop="1" x14ac:dyDescent="0.2">
      <c r="A47" s="39"/>
      <c r="B47" s="43"/>
      <c r="C47" s="255"/>
      <c r="D47" s="255"/>
      <c r="E47" s="176"/>
    </row>
    <row r="48" spans="1:7" ht="19.5" customHeight="1" x14ac:dyDescent="0.2">
      <c r="A48" s="45">
        <v>15</v>
      </c>
      <c r="B48" s="54" t="s">
        <v>28</v>
      </c>
      <c r="C48" s="262">
        <f>C44-C46</f>
        <v>-48222257.610000014</v>
      </c>
      <c r="D48" s="262">
        <f>D44-D46</f>
        <v>-104183982.61000001</v>
      </c>
      <c r="E48" s="225">
        <f>SUM(C48-D48)</f>
        <v>55961725</v>
      </c>
    </row>
    <row r="49" spans="1:8" ht="20.25" customHeight="1" x14ac:dyDescent="0.2">
      <c r="A49" s="38"/>
      <c r="B49" s="55" t="s">
        <v>11</v>
      </c>
      <c r="C49" s="215"/>
      <c r="D49" s="215"/>
      <c r="E49" s="55"/>
      <c r="F49" s="55"/>
      <c r="G49" s="64"/>
    </row>
    <row r="50" spans="1:8" ht="15" customHeight="1" x14ac:dyDescent="0.2">
      <c r="A50" s="38"/>
      <c r="B50" s="55" t="s">
        <v>23</v>
      </c>
      <c r="C50" s="55"/>
      <c r="D50" s="55"/>
      <c r="E50" s="55"/>
      <c r="F50" s="55"/>
      <c r="G50" s="64" t="s">
        <v>23</v>
      </c>
    </row>
    <row r="51" spans="1:8" ht="15" customHeight="1" x14ac:dyDescent="0.2">
      <c r="A51" s="38"/>
      <c r="B51" s="55"/>
      <c r="C51" s="55"/>
      <c r="D51" s="55"/>
      <c r="E51" s="55"/>
      <c r="F51" s="55"/>
      <c r="G51" s="64"/>
    </row>
    <row r="52" spans="1:8" s="223" customFormat="1" ht="21.75" customHeight="1" x14ac:dyDescent="0.2">
      <c r="A52" s="271" t="s">
        <v>53</v>
      </c>
      <c r="B52" s="271"/>
      <c r="C52" s="271"/>
      <c r="D52" s="271"/>
      <c r="E52" s="271"/>
      <c r="F52" s="243"/>
      <c r="G52" s="198"/>
      <c r="H52" s="198"/>
    </row>
    <row r="53" spans="1:8" s="197" customFormat="1" ht="21.75" customHeight="1" x14ac:dyDescent="0.2">
      <c r="A53" s="241" t="s">
        <v>54</v>
      </c>
      <c r="B53" s="246"/>
      <c r="C53" s="246"/>
      <c r="D53" s="246"/>
      <c r="E53" s="246"/>
      <c r="F53" s="242"/>
      <c r="G53" s="216"/>
      <c r="H53" s="216"/>
    </row>
    <row r="54" spans="1:8" s="197" customFormat="1" ht="21.75" customHeight="1" x14ac:dyDescent="0.2">
      <c r="A54" s="241" t="s">
        <v>57</v>
      </c>
      <c r="B54" s="243"/>
      <c r="C54" s="243"/>
      <c r="D54" s="243"/>
      <c r="E54" s="246"/>
      <c r="F54" s="242"/>
      <c r="G54" s="216"/>
      <c r="H54" s="216"/>
    </row>
    <row r="55" spans="1:8" s="197" customFormat="1" ht="21.75" customHeight="1" x14ac:dyDescent="0.2">
      <c r="A55" s="241" t="s">
        <v>60</v>
      </c>
      <c r="B55" s="243"/>
      <c r="C55" s="243"/>
      <c r="D55" s="243"/>
      <c r="E55" s="265"/>
      <c r="F55" s="265"/>
      <c r="G55" s="216"/>
      <c r="H55" s="216"/>
    </row>
    <row r="56" spans="1:8" s="197" customFormat="1" ht="21.75" customHeight="1" x14ac:dyDescent="0.2">
      <c r="A56" s="241" t="s">
        <v>61</v>
      </c>
      <c r="B56" s="241"/>
      <c r="C56" s="241"/>
      <c r="D56" s="241"/>
      <c r="E56" s="241"/>
      <c r="F56" s="241"/>
      <c r="G56" s="196"/>
    </row>
    <row r="57" spans="1:8" s="197" customFormat="1" ht="18.75" customHeight="1" x14ac:dyDescent="0.2">
      <c r="A57" s="263"/>
      <c r="B57" s="263"/>
      <c r="C57" s="263"/>
      <c r="D57" s="263"/>
      <c r="E57" s="263"/>
      <c r="F57" s="196"/>
      <c r="G57" s="196"/>
    </row>
    <row r="58" spans="1:8" s="197" customFormat="1" ht="18.75" customHeight="1" x14ac:dyDescent="0.2">
      <c r="A58" s="264" t="s">
        <v>62</v>
      </c>
      <c r="B58" s="263"/>
      <c r="C58" s="263"/>
      <c r="D58" s="263"/>
      <c r="E58" s="263"/>
      <c r="F58" s="196"/>
      <c r="G58" s="196"/>
    </row>
    <row r="59" spans="1:8" s="200" customFormat="1" ht="18.75" customHeight="1" x14ac:dyDescent="0.2">
      <c r="B59" s="199"/>
      <c r="C59" s="199"/>
      <c r="D59" s="199"/>
      <c r="E59" s="199"/>
      <c r="F59" s="199"/>
      <c r="G59" s="199"/>
    </row>
    <row r="60" spans="1:8" ht="18.75" customHeight="1" x14ac:dyDescent="0.2">
      <c r="A60" s="181"/>
      <c r="B60" s="182"/>
      <c r="C60" s="182"/>
      <c r="D60" s="182"/>
      <c r="E60" s="182"/>
      <c r="F60" s="182"/>
      <c r="G60" s="182"/>
    </row>
    <row r="61" spans="1:8" s="117" customFormat="1" ht="15" customHeight="1" x14ac:dyDescent="0.2">
      <c r="B61" s="116"/>
      <c r="C61" s="116"/>
      <c r="D61" s="116"/>
      <c r="E61" s="116"/>
      <c r="F61" s="116"/>
      <c r="G61" s="116"/>
      <c r="H61" s="116"/>
    </row>
    <row r="62" spans="1:8" s="122" customFormat="1" ht="16.149999999999999" hidden="1" customHeight="1" x14ac:dyDescent="0.2">
      <c r="A62" s="116"/>
      <c r="G62" s="123"/>
    </row>
    <row r="63" spans="1:8" s="125" customFormat="1" ht="16.149999999999999" hidden="1" customHeight="1" x14ac:dyDescent="0.2">
      <c r="A63" s="121"/>
      <c r="B63" s="180"/>
      <c r="C63" s="180"/>
      <c r="D63" s="180"/>
      <c r="E63" s="180"/>
      <c r="F63" s="180"/>
      <c r="G63" s="180"/>
    </row>
    <row r="64" spans="1:8" s="125" customFormat="1" ht="16.149999999999999" hidden="1" customHeight="1" x14ac:dyDescent="0.2">
      <c r="A64" s="180"/>
      <c r="B64" s="180"/>
      <c r="C64" s="180"/>
      <c r="D64" s="180"/>
      <c r="E64" s="180"/>
      <c r="F64" s="180"/>
      <c r="G64" s="180"/>
    </row>
    <row r="65" spans="1:8" s="125" customFormat="1" ht="16.5" hidden="1" customHeight="1" x14ac:dyDescent="0.2">
      <c r="A65" s="180"/>
      <c r="B65" s="180"/>
      <c r="C65" s="180"/>
      <c r="D65" s="180"/>
      <c r="E65" s="180"/>
      <c r="F65" s="180"/>
      <c r="G65" s="126"/>
    </row>
    <row r="66" spans="1:8" s="137" customFormat="1" ht="15" customHeight="1" x14ac:dyDescent="0.2">
      <c r="A66" s="180"/>
      <c r="B66" s="179"/>
      <c r="C66" s="179"/>
      <c r="D66" s="179"/>
      <c r="E66" s="179"/>
      <c r="F66" s="179"/>
      <c r="G66" s="179"/>
      <c r="H66" s="116"/>
    </row>
    <row r="67" spans="1:8" s="122" customFormat="1" ht="16.149999999999999" customHeight="1" x14ac:dyDescent="0.2">
      <c r="A67" s="179"/>
      <c r="G67" s="123"/>
    </row>
    <row r="68" spans="1:8" ht="16.149999999999999" customHeight="1" x14ac:dyDescent="0.2">
      <c r="A68" s="122"/>
      <c r="G68" s="56"/>
    </row>
    <row r="69" spans="1:8" ht="16.149999999999999" customHeight="1" x14ac:dyDescent="0.2">
      <c r="G69" s="56"/>
    </row>
    <row r="70" spans="1:8" ht="16.149999999999999" customHeight="1" x14ac:dyDescent="0.2">
      <c r="G70" s="56"/>
    </row>
  </sheetData>
  <mergeCells count="3">
    <mergeCell ref="A1:E1"/>
    <mergeCell ref="A2:E2"/>
    <mergeCell ref="A52:E52"/>
  </mergeCells>
  <phoneticPr fontId="0" type="noConversion"/>
  <pageMargins left="0.76" right="0" top="0.8" bottom="0.25" header="0.5" footer="0.5"/>
  <pageSetup scale="65" orientation="landscape" r:id="rId1"/>
  <headerFooter alignWithMargins="0">
    <oddHeader xml:space="preserve">&amp;R&amp;"Times New Roman,Bold"&amp;10July 18, 2019 BOE Agenda Item XX, Attachment A: Statement of Financial Position&amp;"Times New Roman,Regular"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W80"/>
  <sheetViews>
    <sheetView zoomScale="75" zoomScaleNormal="75" workbookViewId="0">
      <pane xSplit="2" ySplit="7" topLeftCell="C8" activePane="bottomRight" state="frozen"/>
      <selection activeCell="A48" sqref="A48"/>
      <selection pane="topRight" activeCell="A48" sqref="A48"/>
      <selection pane="bottomLeft" activeCell="A48" sqref="A48"/>
      <selection pane="bottomRight" activeCell="C54" sqref="C54"/>
    </sheetView>
  </sheetViews>
  <sheetFormatPr defaultColWidth="9.77734375" defaultRowHeight="16.149999999999999" customHeight="1" x14ac:dyDescent="0.2"/>
  <cols>
    <col min="1" max="1" width="8.44140625" style="1" customWidth="1"/>
    <col min="2" max="2" width="64.109375" style="2" customWidth="1"/>
    <col min="3" max="3" width="28.6640625" style="2" customWidth="1"/>
    <col min="4" max="4" width="27.5546875" style="2" customWidth="1"/>
    <col min="5" max="5" width="22.33203125" style="2" customWidth="1"/>
    <col min="6" max="6" width="21.5546875" style="2" customWidth="1"/>
    <col min="7" max="7" width="22" style="2" customWidth="1"/>
    <col min="8" max="10" width="20.6640625" style="2" customWidth="1"/>
    <col min="11" max="13" width="19.6640625" style="2" customWidth="1"/>
    <col min="14" max="16" width="17" style="2" customWidth="1"/>
    <col min="17" max="23" width="17.44140625" style="2" customWidth="1"/>
    <col min="24" max="27" width="17.5546875" style="2" customWidth="1"/>
    <col min="28" max="30" width="17.6640625" style="2" customWidth="1"/>
    <col min="31" max="36" width="17.77734375" style="2" customWidth="1"/>
    <col min="37" max="41" width="17.6640625" style="2" customWidth="1"/>
    <col min="42" max="42" width="18.21875" style="2" customWidth="1"/>
    <col min="43" max="45" width="17.6640625" style="2" customWidth="1"/>
    <col min="46" max="46" width="16" style="2" customWidth="1"/>
    <col min="47" max="48" width="17.6640625" style="2" customWidth="1"/>
    <col min="49" max="49" width="17.44140625" style="2" customWidth="1"/>
    <col min="50" max="51" width="17.6640625" style="2" customWidth="1"/>
    <col min="52" max="52" width="17.5546875" style="2" customWidth="1"/>
    <col min="53" max="57" width="17.6640625" style="2" customWidth="1"/>
    <col min="58" max="63" width="17.77734375" style="2" customWidth="1"/>
    <col min="64" max="64" width="17.6640625" style="2" customWidth="1"/>
    <col min="65" max="112" width="17.77734375" style="2" customWidth="1"/>
    <col min="113" max="113" width="17.77734375" style="4" customWidth="1"/>
    <col min="114" max="131" width="17.77734375" style="2" customWidth="1"/>
    <col min="132" max="132" width="17.33203125" style="2" customWidth="1"/>
    <col min="133" max="151" width="17.77734375" style="2" customWidth="1"/>
    <col min="152" max="152" width="12.5546875" style="2" customWidth="1"/>
    <col min="153" max="153" width="11.77734375" style="2" bestFit="1" customWidth="1"/>
    <col min="154" max="16384" width="9.77734375" style="2"/>
  </cols>
  <sheetData>
    <row r="1" spans="1:153" ht="12" customHeight="1" x14ac:dyDescent="0.25">
      <c r="A1" s="7"/>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5"/>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row>
    <row r="2" spans="1:153" ht="16.149999999999999" customHeight="1" x14ac:dyDescent="0.25">
      <c r="A2" s="23" t="s">
        <v>14</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23</v>
      </c>
      <c r="BH2" s="9" t="s">
        <v>23</v>
      </c>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61"/>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row>
    <row r="3" spans="1:153" ht="16.149999999999999" customHeight="1" x14ac:dyDescent="0.25">
      <c r="A3" s="23" t="s">
        <v>13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t="s">
        <v>23</v>
      </c>
      <c r="BB3" s="9"/>
      <c r="BC3" s="9"/>
      <c r="BD3" s="9"/>
      <c r="BE3" s="9"/>
      <c r="BF3" s="9"/>
      <c r="BG3" s="9"/>
      <c r="BH3" s="9"/>
      <c r="BI3" s="9"/>
      <c r="BJ3" s="9" t="s">
        <v>23</v>
      </c>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61"/>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61"/>
      <c r="EN3" s="9"/>
      <c r="EO3" s="9"/>
      <c r="EP3" s="9"/>
      <c r="EQ3" s="9"/>
      <c r="ER3" s="9"/>
      <c r="ES3" s="9"/>
      <c r="ET3" s="9"/>
      <c r="EU3" s="9"/>
    </row>
    <row r="4" spans="1:153" ht="16.149999999999999" customHeight="1" x14ac:dyDescent="0.25">
      <c r="A4" s="9"/>
      <c r="B4" s="9" t="s">
        <v>23</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61"/>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row>
    <row r="5" spans="1:153" ht="8.25" customHeight="1" x14ac:dyDescent="0.25">
      <c r="A5" s="8"/>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9"/>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row>
    <row r="6" spans="1:153" ht="16.149999999999999" customHeight="1" x14ac:dyDescent="0.25">
      <c r="A6" s="7" t="s">
        <v>3</v>
      </c>
      <c r="B6" s="8"/>
      <c r="C6" s="108">
        <v>43921</v>
      </c>
      <c r="D6" s="108">
        <v>43830</v>
      </c>
      <c r="E6" s="108">
        <v>43738</v>
      </c>
      <c r="F6" s="108">
        <v>43646</v>
      </c>
      <c r="G6" s="108">
        <v>43555</v>
      </c>
      <c r="H6" s="108">
        <v>43465</v>
      </c>
      <c r="I6" s="108">
        <v>43373</v>
      </c>
      <c r="J6" s="108">
        <v>43281</v>
      </c>
      <c r="K6" s="108">
        <v>43190</v>
      </c>
      <c r="L6" s="108">
        <v>43100</v>
      </c>
      <c r="M6" s="108">
        <v>43008</v>
      </c>
      <c r="N6" s="108">
        <v>42916</v>
      </c>
      <c r="O6" s="108">
        <v>42825</v>
      </c>
      <c r="P6" s="108">
        <v>42735</v>
      </c>
      <c r="Q6" s="108">
        <v>42643</v>
      </c>
      <c r="R6" s="108">
        <v>42613</v>
      </c>
      <c r="S6" s="108">
        <v>42582</v>
      </c>
      <c r="T6" s="108">
        <v>42551</v>
      </c>
      <c r="U6" s="108">
        <v>42521</v>
      </c>
      <c r="V6" s="108">
        <v>42490</v>
      </c>
      <c r="W6" s="108">
        <v>42460</v>
      </c>
      <c r="X6" s="108">
        <v>42428</v>
      </c>
      <c r="Y6" s="108">
        <v>42400</v>
      </c>
      <c r="Z6" s="108">
        <v>42369</v>
      </c>
      <c r="AA6" s="108">
        <v>42338</v>
      </c>
      <c r="AB6" s="108">
        <v>42308</v>
      </c>
      <c r="AC6" s="108">
        <v>42277</v>
      </c>
      <c r="AD6" s="108">
        <v>42247</v>
      </c>
      <c r="AE6" s="108">
        <v>42216</v>
      </c>
      <c r="AF6" s="108">
        <v>42185</v>
      </c>
      <c r="AG6" s="108">
        <v>42155</v>
      </c>
      <c r="AH6" s="108">
        <v>42124</v>
      </c>
      <c r="AI6" s="108">
        <v>42094</v>
      </c>
      <c r="AJ6" s="108">
        <v>42063</v>
      </c>
      <c r="AK6" s="108">
        <v>42035</v>
      </c>
      <c r="AL6" s="108">
        <v>42004</v>
      </c>
      <c r="AM6" s="108">
        <v>41973</v>
      </c>
      <c r="AN6" s="108">
        <v>41943</v>
      </c>
      <c r="AO6" s="108">
        <v>41912</v>
      </c>
      <c r="AP6" s="108">
        <v>41882</v>
      </c>
      <c r="AQ6" s="108">
        <v>41851</v>
      </c>
      <c r="AR6" s="108">
        <v>41820</v>
      </c>
      <c r="AS6" s="108">
        <v>41790</v>
      </c>
      <c r="AT6" s="108">
        <v>41759</v>
      </c>
      <c r="AU6" s="108">
        <v>41729</v>
      </c>
      <c r="AV6" s="108">
        <v>41698</v>
      </c>
      <c r="AW6" s="108">
        <v>41670</v>
      </c>
      <c r="AX6" s="108">
        <v>41639</v>
      </c>
      <c r="AY6" s="108">
        <v>41608</v>
      </c>
      <c r="AZ6" s="108">
        <v>41578</v>
      </c>
      <c r="BA6" s="108">
        <v>41547</v>
      </c>
      <c r="BB6" s="108">
        <v>41517</v>
      </c>
      <c r="BC6" s="108">
        <v>41486</v>
      </c>
      <c r="BD6" s="108">
        <v>41455</v>
      </c>
      <c r="BE6" s="108">
        <v>41425</v>
      </c>
      <c r="BF6" s="108">
        <v>41394</v>
      </c>
      <c r="BG6" s="108">
        <v>41364</v>
      </c>
      <c r="BH6" s="108">
        <v>41333</v>
      </c>
      <c r="BI6" s="108">
        <v>41305</v>
      </c>
      <c r="BJ6" s="108">
        <v>41274</v>
      </c>
      <c r="BK6" s="108">
        <v>41243</v>
      </c>
      <c r="BL6" s="108">
        <v>41212</v>
      </c>
      <c r="BM6" s="108">
        <v>41182</v>
      </c>
      <c r="BN6" s="108">
        <v>41152</v>
      </c>
      <c r="BO6" s="108">
        <v>41121</v>
      </c>
      <c r="BP6" s="108">
        <v>41090</v>
      </c>
      <c r="BQ6" s="108">
        <v>41060</v>
      </c>
      <c r="BR6" s="108">
        <v>41029</v>
      </c>
      <c r="BS6" s="108">
        <v>40999</v>
      </c>
      <c r="BT6" s="108">
        <v>40968</v>
      </c>
      <c r="BU6" s="108">
        <v>40939</v>
      </c>
      <c r="BV6" s="108">
        <v>40908</v>
      </c>
      <c r="BW6" s="108">
        <v>40877</v>
      </c>
      <c r="BX6" s="108">
        <v>40847</v>
      </c>
      <c r="BY6" s="108">
        <v>40816</v>
      </c>
      <c r="BZ6" s="108">
        <v>40786</v>
      </c>
      <c r="CA6" s="108">
        <v>40755</v>
      </c>
      <c r="CB6" s="108">
        <v>40724</v>
      </c>
      <c r="CC6" s="108">
        <v>40694</v>
      </c>
      <c r="CD6" s="108">
        <v>40663</v>
      </c>
      <c r="CE6" s="108">
        <v>40633</v>
      </c>
      <c r="CF6" s="108">
        <v>40602</v>
      </c>
      <c r="CG6" s="108">
        <v>40574</v>
      </c>
      <c r="CH6" s="108">
        <v>40543</v>
      </c>
      <c r="CI6" s="108">
        <v>40512</v>
      </c>
      <c r="CJ6" s="108">
        <v>40482</v>
      </c>
      <c r="CK6" s="108">
        <v>40451</v>
      </c>
      <c r="CL6" s="108">
        <v>40421</v>
      </c>
      <c r="CM6" s="108">
        <v>40390</v>
      </c>
      <c r="CN6" s="108">
        <v>40359</v>
      </c>
      <c r="CO6" s="108">
        <v>40329</v>
      </c>
      <c r="CP6" s="108">
        <v>40298</v>
      </c>
      <c r="CQ6" s="108">
        <v>40268</v>
      </c>
      <c r="CR6" s="108">
        <v>40237</v>
      </c>
      <c r="CS6" s="108">
        <v>40209</v>
      </c>
      <c r="CT6" s="108">
        <v>40178</v>
      </c>
      <c r="CU6" s="108">
        <v>40147</v>
      </c>
      <c r="CV6" s="108">
        <v>40117</v>
      </c>
      <c r="CW6" s="108">
        <v>40086</v>
      </c>
      <c r="CX6" s="108">
        <v>40056</v>
      </c>
      <c r="CY6" s="108">
        <v>40025</v>
      </c>
      <c r="CZ6" s="108">
        <v>39994</v>
      </c>
      <c r="DA6" s="108">
        <v>39964</v>
      </c>
      <c r="DB6" s="108">
        <v>39933</v>
      </c>
      <c r="DC6" s="108">
        <v>39903</v>
      </c>
      <c r="DD6" s="108">
        <v>39872</v>
      </c>
      <c r="DE6" s="108">
        <v>39844</v>
      </c>
      <c r="DF6" s="108">
        <v>39813</v>
      </c>
      <c r="DG6" s="108">
        <v>39782</v>
      </c>
      <c r="DH6" s="108">
        <v>39752</v>
      </c>
      <c r="DI6" s="108">
        <v>39721</v>
      </c>
      <c r="DJ6" s="108">
        <v>39691</v>
      </c>
      <c r="DK6" s="108">
        <v>39660</v>
      </c>
      <c r="DL6" s="108">
        <v>39629</v>
      </c>
      <c r="DM6" s="108">
        <v>39599</v>
      </c>
      <c r="DN6" s="108">
        <v>39568</v>
      </c>
      <c r="DO6" s="30">
        <v>39538</v>
      </c>
      <c r="DP6" s="30">
        <v>39507</v>
      </c>
      <c r="DQ6" s="30">
        <v>39478</v>
      </c>
      <c r="DR6" s="30">
        <v>39447</v>
      </c>
      <c r="DS6" s="30">
        <v>39416</v>
      </c>
      <c r="DT6" s="30">
        <v>39386</v>
      </c>
      <c r="DU6" s="30">
        <v>39355</v>
      </c>
      <c r="DV6" s="30">
        <v>39325</v>
      </c>
      <c r="DW6" s="30">
        <v>39294</v>
      </c>
      <c r="DX6" s="30">
        <v>39263</v>
      </c>
      <c r="DY6" s="30">
        <v>39233</v>
      </c>
      <c r="DZ6" s="30">
        <v>39202</v>
      </c>
      <c r="EA6" s="30">
        <v>39172</v>
      </c>
      <c r="EB6" s="30">
        <v>39141</v>
      </c>
      <c r="EC6" s="30">
        <v>39113</v>
      </c>
      <c r="ED6" s="30">
        <v>39082</v>
      </c>
      <c r="EE6" s="30">
        <v>39051</v>
      </c>
      <c r="EF6" s="30">
        <v>39021</v>
      </c>
      <c r="EG6" s="30">
        <v>38990</v>
      </c>
      <c r="EH6" s="30">
        <v>38960</v>
      </c>
      <c r="EI6" s="30">
        <v>38929</v>
      </c>
      <c r="EJ6" s="30">
        <v>38898</v>
      </c>
      <c r="EK6" s="30">
        <v>38868</v>
      </c>
      <c r="EL6" s="30">
        <v>38837</v>
      </c>
      <c r="EM6" s="30">
        <v>38807</v>
      </c>
      <c r="EN6" s="30">
        <v>38776</v>
      </c>
      <c r="EO6" s="30">
        <v>38748</v>
      </c>
      <c r="EP6" s="30">
        <v>38717</v>
      </c>
      <c r="EQ6" s="30">
        <v>38686</v>
      </c>
      <c r="ER6" s="30">
        <v>38656</v>
      </c>
      <c r="ES6" s="30">
        <v>38625</v>
      </c>
      <c r="ET6" s="30">
        <v>38595</v>
      </c>
      <c r="EU6" s="30">
        <v>38564</v>
      </c>
      <c r="EW6" s="32" t="s">
        <v>16</v>
      </c>
    </row>
    <row r="7" spans="1:153" ht="15" customHeight="1" x14ac:dyDescent="0.25">
      <c r="A7" s="11" t="s">
        <v>2</v>
      </c>
      <c r="B7" s="12" t="s">
        <v>0</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61"/>
      <c r="CL7" s="61"/>
      <c r="CM7" s="12"/>
      <c r="CN7" s="12"/>
      <c r="CO7" s="12"/>
      <c r="CP7" s="12"/>
      <c r="CQ7" s="12"/>
      <c r="CR7" s="12"/>
      <c r="CS7" s="12"/>
      <c r="CT7" s="12"/>
      <c r="CU7" s="12"/>
      <c r="CV7" s="12"/>
      <c r="CW7" s="12"/>
      <c r="CX7" s="12"/>
      <c r="CY7" s="12"/>
      <c r="CZ7" s="12"/>
      <c r="DA7" s="12"/>
      <c r="DB7" s="12"/>
      <c r="DC7" s="12"/>
      <c r="DD7" s="12"/>
      <c r="DE7" s="12"/>
      <c r="DF7" s="12"/>
      <c r="DG7" s="12"/>
      <c r="DH7" s="12"/>
      <c r="DI7" s="88"/>
      <c r="DJ7" s="12"/>
      <c r="DK7" s="12"/>
      <c r="DL7" s="12"/>
      <c r="DM7" s="12"/>
      <c r="DN7" s="12"/>
      <c r="DO7" s="12"/>
      <c r="DP7" s="12"/>
      <c r="DQ7" s="12"/>
      <c r="DR7" s="12"/>
      <c r="DS7" s="12"/>
      <c r="DT7" s="12"/>
      <c r="DU7" s="12"/>
      <c r="DV7" s="12"/>
      <c r="DW7" s="12"/>
      <c r="DX7" s="12"/>
      <c r="DY7" s="12"/>
      <c r="DZ7" s="12"/>
      <c r="EA7" s="12"/>
      <c r="EB7" s="12"/>
      <c r="EC7" s="12"/>
      <c r="ED7" s="12"/>
      <c r="EE7" s="12"/>
      <c r="EF7" s="12"/>
      <c r="EG7" s="13"/>
      <c r="EH7" s="13"/>
      <c r="EI7" s="13"/>
      <c r="EJ7" s="13"/>
      <c r="EK7" s="13"/>
      <c r="EL7" s="13"/>
      <c r="EM7" s="13"/>
      <c r="EN7" s="13"/>
      <c r="EO7" s="13"/>
      <c r="EP7" s="13"/>
      <c r="EQ7" s="13"/>
      <c r="ER7" s="13"/>
      <c r="ES7" s="13"/>
      <c r="ET7" s="13"/>
      <c r="EU7" s="13"/>
    </row>
    <row r="8" spans="1:153" ht="15" customHeight="1" x14ac:dyDescent="0.25">
      <c r="A8" s="28">
        <v>1</v>
      </c>
      <c r="B8" s="9" t="s">
        <v>4</v>
      </c>
      <c r="C8" s="239">
        <f>'[1]lit 2020'!$K$43</f>
        <v>183909305</v>
      </c>
      <c r="D8" s="239">
        <f>'[2]lit 2020'!$H$43</f>
        <v>127947580</v>
      </c>
      <c r="E8" s="239">
        <f>'[2]lit 2020'!$E$43</f>
        <v>101325347</v>
      </c>
      <c r="F8" s="239">
        <f>'[3]lit 2019'!$N$42</f>
        <v>95134055</v>
      </c>
      <c r="G8" s="239">
        <f>'[4]lit 2019'!$K$42</f>
        <v>153993050.88</v>
      </c>
      <c r="H8" s="239">
        <f>'[5]lit 2019'!$H$42</f>
        <v>100571832</v>
      </c>
      <c r="I8" s="239">
        <f>'[6]lit 2018'!$E$42</f>
        <v>99019580</v>
      </c>
      <c r="J8" s="239">
        <f>'[7]lit 2018'!$N$42</f>
        <v>81655856</v>
      </c>
      <c r="K8" s="239">
        <f>'[8]lit 2018'!$K$42</f>
        <v>209401868</v>
      </c>
      <c r="L8" s="239">
        <f>'[9]lit 2018'!$H$42</f>
        <v>114717074</v>
      </c>
      <c r="M8" s="239">
        <f>'[10]lit 2018'!$E$42</f>
        <v>95099373</v>
      </c>
      <c r="N8" s="61">
        <f>'[11]lit 2017'!$N$42</f>
        <v>71450042</v>
      </c>
      <c r="O8" s="61">
        <f>'[12]lit 2017'!$K$42</f>
        <v>232980215</v>
      </c>
      <c r="P8" s="61">
        <f>'[13]lit 2017'!$H$42</f>
        <v>135988523</v>
      </c>
      <c r="Q8" s="61">
        <f>'[14]lit 2017'!$E$42</f>
        <v>116126400</v>
      </c>
      <c r="R8" s="61">
        <f>'[14]lit 2017'!$D$42</f>
        <v>107830398</v>
      </c>
      <c r="S8" s="61">
        <f>'[14]lit 2017'!$C$42</f>
        <v>98627178</v>
      </c>
      <c r="T8" s="61">
        <f>'[15]lit 2016'!$N$42</f>
        <v>95546933</v>
      </c>
      <c r="U8" s="61">
        <f>'[15]lit 2016'!$M$42</f>
        <v>308416225</v>
      </c>
      <c r="V8" s="61">
        <f>'[15]lit 2016'!$L$42</f>
        <v>130290232.09999999</v>
      </c>
      <c r="W8" s="61">
        <f>'[16]lit 2016'!$K$42</f>
        <v>128739924</v>
      </c>
      <c r="X8" s="61">
        <f>'[16]lit 2016'!$J$42</f>
        <v>120928935</v>
      </c>
      <c r="Y8" s="61">
        <f>'[16]lit 2016'!$I$42</f>
        <v>84225436</v>
      </c>
      <c r="Z8" s="61">
        <f>'[17]lit 2016'!$H$42</f>
        <v>75218797</v>
      </c>
      <c r="AA8" s="61">
        <f>'[17]lit 2016'!$G$42</f>
        <v>68390848</v>
      </c>
      <c r="AB8" s="61">
        <f>'[17]lit 2016'!$F$42</f>
        <v>66260650</v>
      </c>
      <c r="AC8" s="61">
        <f>'[18]lit 2016'!$E$42</f>
        <v>61352343.25</v>
      </c>
      <c r="AD8" s="61">
        <f>'[18]lit 2016'!$D$42</f>
        <v>22277599</v>
      </c>
      <c r="AE8" s="61">
        <f>'[18]lit 2016'!$C$42</f>
        <v>12777362</v>
      </c>
      <c r="AF8" s="134">
        <f>'[19]lit 2015'!$N$42</f>
        <v>8381628</v>
      </c>
      <c r="AG8" s="134">
        <f>'[19]lit 2015'!$M$42</f>
        <v>360211024</v>
      </c>
      <c r="AH8" s="134">
        <f>'[19]lit 2015'!$L$42</f>
        <v>262462765.16000003</v>
      </c>
      <c r="AI8" s="61">
        <f>'[20]lit 2015'!$K$41</f>
        <v>312373028</v>
      </c>
      <c r="AJ8" s="61">
        <f>'[20]lit 2015'!$J$41</f>
        <v>303693426</v>
      </c>
      <c r="AK8" s="61">
        <f>'[20]lit 2015'!$I$41</f>
        <v>86498255</v>
      </c>
      <c r="AL8" s="134">
        <f>'[21]lit 2015'!$H$41</f>
        <v>77134672</v>
      </c>
      <c r="AM8" s="134">
        <f>'[21]lit 2015'!$G$41</f>
        <v>68031973</v>
      </c>
      <c r="AN8" s="134">
        <f>'[21]lit 2015'!$F$41</f>
        <v>55298482.75</v>
      </c>
      <c r="AO8" s="134">
        <f>'[22]lit 2015'!$E$41</f>
        <v>49293657.75</v>
      </c>
      <c r="AP8" s="134">
        <f>'[22]lit 2015'!$D$41</f>
        <v>41299573.75</v>
      </c>
      <c r="AQ8" s="134">
        <f>'[22]lit 2015'!$C$41</f>
        <v>24082727</v>
      </c>
      <c r="AR8" s="61">
        <f>'[23]lit 2014'!$N$41</f>
        <v>17920942</v>
      </c>
      <c r="AS8" s="61">
        <f>'[24]lit 2014'!$M$41</f>
        <v>106596890</v>
      </c>
      <c r="AT8" s="61">
        <f>'[24]lit 2014'!$L$41</f>
        <v>92025003</v>
      </c>
      <c r="AU8" s="61">
        <f>'[25]lit 2014'!$K$41</f>
        <v>140632015.47</v>
      </c>
      <c r="AV8" s="61">
        <f>'[25]lit 2014'!$J$41</f>
        <v>131462818.96000001</v>
      </c>
      <c r="AW8" s="61">
        <f>'[25]lit 2014'!$I$5</f>
        <v>80421772.819999993</v>
      </c>
      <c r="AX8" s="61">
        <f>'[26]lit 2014'!$H$41</f>
        <v>80421771.61999999</v>
      </c>
      <c r="AY8" s="61">
        <f>'[26]lit 2014'!$G$41</f>
        <v>65315591.25</v>
      </c>
      <c r="AZ8" s="61">
        <f>'[26]lit 2014'!$F$41</f>
        <v>56891031.950000003</v>
      </c>
      <c r="BA8" s="61">
        <f>'[27]lit 2014'!$E$41</f>
        <v>48264537.369999997</v>
      </c>
      <c r="BB8" s="61">
        <f>'[27]lit 2014'!$D$41</f>
        <v>38632023.159999996</v>
      </c>
      <c r="BC8" s="61">
        <f>'[27]lit 2014'!$C$41</f>
        <v>28360420.48</v>
      </c>
      <c r="BD8" s="61">
        <f>'[28]lit 2013'!$N$41</f>
        <v>16842202.889999986</v>
      </c>
      <c r="BE8" s="61">
        <f>'[28]lit 2013'!$M$41</f>
        <v>147158111.88999999</v>
      </c>
      <c r="BF8" s="61">
        <f>'[28]lit 2013'!$L$41</f>
        <v>94958211.889999986</v>
      </c>
      <c r="BG8" s="61">
        <f>'[29]lit 2013'!$K$41</f>
        <v>143849435.88999999</v>
      </c>
      <c r="BH8" s="61">
        <f>'[29]lit 2013'!$J$41</f>
        <v>134698013.88999999</v>
      </c>
      <c r="BI8" s="61">
        <f>'[29]lit 2013'!$I$41</f>
        <v>90767762.350000009</v>
      </c>
      <c r="BJ8" s="134">
        <f>'[30]lit 2012'!$H$41</f>
        <v>80251577</v>
      </c>
      <c r="BK8" s="134">
        <f>'[30]lit 2012'!$G$41</f>
        <v>71441790.719999999</v>
      </c>
      <c r="BL8" s="134">
        <f>'[30]lit 2012'!$F$41</f>
        <v>62411098.519999996</v>
      </c>
      <c r="BM8" s="61">
        <f>'[31]lit 2012'!$E$41</f>
        <v>55911696.800000004</v>
      </c>
      <c r="BN8" s="61">
        <f>'[31]lit 2012'!$D$41</f>
        <v>43521797.340000004</v>
      </c>
      <c r="BO8" s="61">
        <f>'[31]lit 2012'!$C$41</f>
        <v>27584277.359999999</v>
      </c>
      <c r="BP8" s="61">
        <f>'[32]lit 2012'!$N$41</f>
        <v>14101674.860000014</v>
      </c>
      <c r="BQ8" s="61">
        <f>'[32]lit 2012'!$M$41</f>
        <v>128818188.36</v>
      </c>
      <c r="BR8" s="61">
        <f>'[32]lit 2012'!$L$41</f>
        <v>78493587.449999988</v>
      </c>
      <c r="BS8" s="134">
        <f>'[33]lit 2012'!$K$41</f>
        <v>128534754.80000001</v>
      </c>
      <c r="BT8" s="134">
        <f>'[33]lit 2012'!$J$41</f>
        <v>116890311.90000001</v>
      </c>
      <c r="BU8" s="134">
        <f>'[33]lit 2012'!$I$41</f>
        <v>73100654.329999998</v>
      </c>
      <c r="BV8" s="106">
        <f>'[34]lit 2012'!$H$41</f>
        <v>64889625.539999999</v>
      </c>
      <c r="BW8" s="106">
        <f>'[34]lit 2012'!$G$41</f>
        <v>53879253.480000004</v>
      </c>
      <c r="BX8" s="106">
        <f>'[34]lit 2012'!$F$41</f>
        <v>45234428.019999996</v>
      </c>
      <c r="BY8" s="61">
        <f>'[35]lit 2011'!$E$41</f>
        <v>41086711</v>
      </c>
      <c r="BZ8" s="61">
        <f>'[35]lit 2011'!$D$41</f>
        <v>31539489.09</v>
      </c>
      <c r="CA8" s="61">
        <f>'[35]lit 2011'!$C$41</f>
        <v>19784127</v>
      </c>
      <c r="CB8" s="134">
        <f>'[36]lit 2011'!$N$41</f>
        <v>15659644.150000036</v>
      </c>
      <c r="CC8" s="134">
        <f>'[36]lit 2011'!$M$41</f>
        <v>140279960.80000001</v>
      </c>
      <c r="CD8" s="134">
        <f>'[36]lit 2011'!$L$41</f>
        <v>90689334.919999987</v>
      </c>
      <c r="CE8" s="134">
        <f>'[37]lit 2011'!$K$41</f>
        <v>141133775</v>
      </c>
      <c r="CF8" s="138">
        <f>'[37]lit 2011'!$J$41</f>
        <v>125222234</v>
      </c>
      <c r="CG8" s="134">
        <f>'[37]lit 2011'!$I$41</f>
        <v>81672396</v>
      </c>
      <c r="CH8" s="134">
        <f>'[38]lit 2011'!$H$41</f>
        <v>73291722</v>
      </c>
      <c r="CI8" s="134">
        <f>'[38]lit 2011'!$G$41</f>
        <v>62862202</v>
      </c>
      <c r="CJ8" s="134">
        <f>'[38]lit 2011'!$F$41</f>
        <v>53117663.490000002</v>
      </c>
      <c r="CK8" s="61">
        <f>'[39]lit 2011'!$E$41</f>
        <v>46385552.600000001</v>
      </c>
      <c r="CL8" s="61">
        <f>'[39]lit 2011'!$D$41</f>
        <v>36338755.600000001</v>
      </c>
      <c r="CM8" s="61">
        <f>'[39]lit 2011'!$C$41</f>
        <v>25784816.600000001</v>
      </c>
      <c r="CN8" s="61">
        <f>'[40]lit 2010'!$N$41</f>
        <v>17681538.730000019</v>
      </c>
      <c r="CO8" s="61">
        <f>'[40]lit 2010'!$M$41</f>
        <v>194645576.73000002</v>
      </c>
      <c r="CP8" s="61">
        <f>'[40]lit 2010'!$L$41</f>
        <v>133619747.58000001</v>
      </c>
      <c r="CQ8" s="61">
        <f>'[41]lit 2010'!$K$41</f>
        <v>181738720.58000001</v>
      </c>
      <c r="CR8" s="61">
        <f>'[41]lit 2010'!$J$41</f>
        <v>172396450</v>
      </c>
      <c r="CS8" s="61">
        <f>'[42]lit 2010'!$I$41</f>
        <v>108208247.61</v>
      </c>
      <c r="CT8" s="61">
        <f>'[43]lit 2010'!$H$41</f>
        <v>97272320.609999999</v>
      </c>
      <c r="CU8" s="61">
        <f>'[43]lit 2010'!$G$41</f>
        <v>95071139.609999999</v>
      </c>
      <c r="CV8" s="61">
        <f>'[43]lit 2010'!$F$41</f>
        <v>86188143.609999999</v>
      </c>
      <c r="CW8" s="61">
        <f>'[44]lit 2010'!$E$41</f>
        <v>80954345.609999999</v>
      </c>
      <c r="CX8" s="61">
        <f>'[45]lit 2010'!$D$40</f>
        <v>65104295.609999999</v>
      </c>
      <c r="CY8" s="61">
        <f>'[46]lit 2010'!$C$40</f>
        <v>53072817.609999999</v>
      </c>
      <c r="CZ8" s="61">
        <f>[47]lit2009!$N$41</f>
        <v>52478675.75</v>
      </c>
      <c r="DA8" s="61">
        <f>[47]lit2009!$M$41</f>
        <v>18530100</v>
      </c>
      <c r="DB8" s="61">
        <f>[47]lit2009!$L$41</f>
        <v>203702459</v>
      </c>
      <c r="DC8" s="61">
        <f>[48]lit2009!$K$41</f>
        <v>253568479</v>
      </c>
      <c r="DD8" s="61">
        <f>[48]lit2009!$J$41</f>
        <v>243140859</v>
      </c>
      <c r="DE8" s="61">
        <f>[48]lit2009!$I$41</f>
        <v>185709404</v>
      </c>
      <c r="DF8" s="61">
        <f>[49]lit2009!$H$41</f>
        <v>182923905</v>
      </c>
      <c r="DG8" s="61">
        <f>[49]lit2009!$G$41</f>
        <v>177686748</v>
      </c>
      <c r="DH8" s="61">
        <f>[49]lit2009!$F$41</f>
        <v>168811202</v>
      </c>
      <c r="DI8" s="61">
        <f>[50]lit2009!$E$41</f>
        <v>162381902</v>
      </c>
      <c r="DJ8" s="61">
        <f>[51]lit2009!$D$40</f>
        <v>153591847</v>
      </c>
      <c r="DK8" s="61">
        <f>[51]lit2009!$C$40</f>
        <v>140238802</v>
      </c>
      <c r="DL8" s="61">
        <f>[52]lit2008!$N$42</f>
        <v>151091810</v>
      </c>
      <c r="DM8" s="61">
        <f>[52]lit2008!$M$42</f>
        <v>108318947</v>
      </c>
      <c r="DN8" s="61">
        <f>[52]lit2008!$L$42</f>
        <v>215839634</v>
      </c>
      <c r="DO8" s="106">
        <f>[53]lit2008!$K$42</f>
        <v>264531972</v>
      </c>
      <c r="DP8" s="106">
        <f>[54]lit2008!$J$42</f>
        <v>254801875</v>
      </c>
      <c r="DQ8" s="106">
        <f>[55]lit2008!$I$42</f>
        <v>190981406</v>
      </c>
      <c r="DR8" s="61">
        <f>[56]lit2008!$H$42</f>
        <v>179287185</v>
      </c>
      <c r="DS8" s="61">
        <f>[56]lit2008!$G$42</f>
        <v>176752557</v>
      </c>
      <c r="DT8" s="61">
        <f>[57]lit2008!$F$42</f>
        <v>174588882</v>
      </c>
      <c r="DU8" s="97">
        <f>[58]lit2008!$E$42</f>
        <v>165596696</v>
      </c>
      <c r="DV8" s="61">
        <f>[59]lit2007!$D$42</f>
        <v>154973706</v>
      </c>
      <c r="DW8" s="61">
        <f>[60]lit2007!$C$42</f>
        <v>141863132</v>
      </c>
      <c r="DX8" s="57">
        <f>[61]lit2007!N42</f>
        <v>146283509.06999996</v>
      </c>
      <c r="DY8" s="57">
        <f>[61]lit2007!M42</f>
        <v>99270417.289999962</v>
      </c>
      <c r="DZ8" s="57">
        <f>[61]lit2007!L42</f>
        <v>208156890.28999996</v>
      </c>
      <c r="EA8" s="57">
        <f>[62]lit2007!K42</f>
        <v>253516117.28999996</v>
      </c>
      <c r="EB8" s="57">
        <f>[62]lit2007!J42</f>
        <v>242125913.28999996</v>
      </c>
      <c r="EC8" s="57">
        <f>[62]lit2007!I42</f>
        <v>182161690.92999998</v>
      </c>
      <c r="ED8" s="57">
        <f>[63]lit2006!$H$43</f>
        <v>170121142.92999998</v>
      </c>
      <c r="EE8" s="57">
        <f>[64]lit2007!G42</f>
        <v>159701902.16999999</v>
      </c>
      <c r="EF8" s="57">
        <f>[63]lit2006!$F$42</f>
        <v>155132512.69</v>
      </c>
      <c r="EG8" s="57">
        <f>[65]lit2006!E42</f>
        <v>147616907.24000001</v>
      </c>
      <c r="EH8" s="57">
        <f>[65]lit2006!D42</f>
        <v>137244957.24000001</v>
      </c>
      <c r="EI8" s="57">
        <f>[65]lit2006!C42</f>
        <v>126690367.73999999</v>
      </c>
      <c r="EJ8" s="14">
        <f>[66]lit2006!$N$42</f>
        <v>119513646.56</v>
      </c>
      <c r="EK8" s="14">
        <f>[67]lit2006!$M$42</f>
        <v>191723156.38</v>
      </c>
      <c r="EL8" s="14">
        <f>[68]lit2006!$L$42</f>
        <v>183444931.38</v>
      </c>
      <c r="EM8" s="14">
        <f>[69]lit2006!$K$42</f>
        <v>229890542.38</v>
      </c>
      <c r="EN8" s="14">
        <f>[69]lit2006!$J$42</f>
        <v>217608514.38</v>
      </c>
      <c r="EO8" s="14">
        <f>[69]lit2006!$I$42</f>
        <v>157525730.38</v>
      </c>
      <c r="EP8" s="14">
        <f>[70]lit2006!$H$42</f>
        <v>145255181.38</v>
      </c>
      <c r="EQ8" s="14">
        <f>[71]lit2006!$G$42</f>
        <v>132597870.38</v>
      </c>
      <c r="ER8" s="14">
        <f>[71]lit2006!$F$42</f>
        <v>135128930.38</v>
      </c>
      <c r="ES8" s="14">
        <f>[71]lit2006!$E$42</f>
        <v>129235107.38</v>
      </c>
      <c r="ET8" s="14">
        <f>[71]lit2006!$D$42</f>
        <v>118850900.38</v>
      </c>
      <c r="EU8" s="14">
        <f>[71]lit2006!$C$42</f>
        <v>107889006.38</v>
      </c>
      <c r="EW8" s="4">
        <f>SUM(EJ8:EU8)</f>
        <v>1868663517.7400007</v>
      </c>
    </row>
    <row r="9" spans="1:153" ht="15" customHeight="1" x14ac:dyDescent="0.25">
      <c r="A9" s="2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5"/>
      <c r="AI9" s="8"/>
      <c r="AJ9" s="8"/>
      <c r="AK9" s="8"/>
      <c r="AL9" s="8"/>
      <c r="AM9" s="8"/>
      <c r="AN9" s="8"/>
      <c r="AO9" s="8"/>
      <c r="AP9" s="8"/>
      <c r="AQ9" s="8"/>
      <c r="AR9" s="8"/>
      <c r="AS9" s="8"/>
      <c r="AT9" s="8"/>
      <c r="AU9" s="8"/>
      <c r="AV9" s="8"/>
      <c r="AW9" s="8"/>
      <c r="AX9" s="8"/>
      <c r="AY9" s="8"/>
      <c r="AZ9" s="8"/>
      <c r="BA9" s="8"/>
      <c r="BB9" s="8"/>
      <c r="BC9" s="85"/>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5"/>
      <c r="CR9" s="85"/>
      <c r="CS9" s="85"/>
      <c r="CT9" s="8"/>
      <c r="CU9" s="8"/>
      <c r="CV9" s="8"/>
      <c r="CW9" s="8"/>
      <c r="CX9" s="8"/>
      <c r="CY9" s="8"/>
      <c r="CZ9" s="85"/>
      <c r="DA9" s="85"/>
      <c r="DB9" s="85"/>
      <c r="DC9" s="8"/>
      <c r="DD9" s="8"/>
      <c r="DE9" s="8"/>
      <c r="DF9" s="8"/>
      <c r="DG9" s="8"/>
      <c r="DH9" s="8"/>
      <c r="DI9" s="85"/>
      <c r="DJ9" s="8"/>
      <c r="DK9" s="8"/>
      <c r="DL9" s="85"/>
      <c r="DM9" s="85"/>
      <c r="DN9" s="85"/>
      <c r="DO9" s="8"/>
      <c r="DP9" s="8"/>
      <c r="DQ9" s="85"/>
      <c r="DR9" s="85"/>
      <c r="DS9" s="85"/>
      <c r="DT9" s="8"/>
      <c r="DU9" s="98"/>
      <c r="DV9" s="85"/>
      <c r="DW9" s="85"/>
      <c r="DX9" s="8"/>
      <c r="DY9" s="8"/>
      <c r="DZ9" s="8"/>
      <c r="EA9" s="8"/>
      <c r="EB9" s="8"/>
      <c r="EC9" s="8"/>
      <c r="ED9" s="8"/>
      <c r="EE9" s="8"/>
      <c r="EF9" s="8"/>
      <c r="EG9" s="37"/>
      <c r="EH9" s="37"/>
      <c r="EI9" s="37"/>
      <c r="EJ9" s="15"/>
      <c r="EK9" s="15"/>
      <c r="EL9" s="15"/>
      <c r="EM9" s="15"/>
      <c r="EN9" s="15"/>
      <c r="EO9" s="15"/>
      <c r="EP9" s="15"/>
      <c r="EQ9" s="15"/>
      <c r="ER9" s="15"/>
      <c r="ES9" s="15"/>
      <c r="ET9" s="15"/>
      <c r="EU9" s="15"/>
    </row>
    <row r="10" spans="1:153" ht="15" customHeight="1" x14ac:dyDescent="0.25">
      <c r="A10" s="28">
        <v>2</v>
      </c>
      <c r="B10" s="9" t="s">
        <v>24</v>
      </c>
      <c r="C10" s="239">
        <f>'[1]lit 2020'!$K$59</f>
        <v>0</v>
      </c>
      <c r="D10" s="239">
        <f>'[2]lit 2020'!$H$59</f>
        <v>0</v>
      </c>
      <c r="E10" s="239">
        <f>'[2]lit 2020'!$E$59</f>
        <v>0</v>
      </c>
      <c r="F10" s="239">
        <f>'[3]lit 2019'!$N$59</f>
        <v>0</v>
      </c>
      <c r="G10" s="239">
        <f>'[4]lit 2019'!$K$59</f>
        <v>0</v>
      </c>
      <c r="H10" s="239">
        <f>'[5]lit 2019'!$H$59</f>
        <v>0</v>
      </c>
      <c r="I10" s="239">
        <f>'[6]lit 2018'!$E$59</f>
        <v>0</v>
      </c>
      <c r="J10" s="239">
        <f>'[7]lit 2018'!$N$59</f>
        <v>0</v>
      </c>
      <c r="K10" s="239">
        <f>'[8]lit 2018'!$K$59</f>
        <v>0</v>
      </c>
      <c r="L10" s="239">
        <f>'[9]lit 2018'!$H$59</f>
        <v>0</v>
      </c>
      <c r="M10" s="239">
        <f>'[10]lit 2018'!$E$59</f>
        <v>0</v>
      </c>
      <c r="N10" s="61">
        <f>'[11]lit 2017'!$N$59</f>
        <v>0</v>
      </c>
      <c r="O10" s="61">
        <f>'[12]lit 2017'!$K$59</f>
        <v>0</v>
      </c>
      <c r="P10" s="61">
        <f>'[13]lit 2017'!$H$59</f>
        <v>0</v>
      </c>
      <c r="Q10" s="61">
        <f>'[14]lit 2017'!$E$59</f>
        <v>0</v>
      </c>
      <c r="R10" s="61">
        <f>'[14]lit 2017'!$D$59</f>
        <v>0</v>
      </c>
      <c r="S10" s="61">
        <f>'[14]lit 2017'!$C$59</f>
        <v>0</v>
      </c>
      <c r="T10" s="61">
        <f>'[15]lit 2016'!$N$59</f>
        <v>0</v>
      </c>
      <c r="U10" s="61">
        <f>'[15]lit 2016'!$M$59</f>
        <v>0</v>
      </c>
      <c r="V10" s="61">
        <f>'[15]lit 2016'!$L$59</f>
        <v>0</v>
      </c>
      <c r="W10" s="194">
        <f>'[16]lit 2016'!$K$59</f>
        <v>0</v>
      </c>
      <c r="X10" s="194">
        <f>'[16]lit 2016'!$J$59</f>
        <v>0</v>
      </c>
      <c r="Y10" s="194">
        <f>'[16]lit 2016'!$I$59</f>
        <v>0</v>
      </c>
      <c r="Z10" s="194">
        <f>'[18]lit 2016'!$H$59</f>
        <v>0</v>
      </c>
      <c r="AA10" s="194">
        <f>'[18]lit 2016'!$G$59</f>
        <v>0</v>
      </c>
      <c r="AB10" s="194">
        <f>'[18]lit 2016'!$F$59</f>
        <v>0</v>
      </c>
      <c r="AC10" s="194">
        <f>'[18]lit 2016'!$E$59</f>
        <v>0</v>
      </c>
      <c r="AD10" s="194">
        <f>'[18]lit 2016'!$D$59</f>
        <v>0</v>
      </c>
      <c r="AE10" s="194">
        <f>'[18]lit 2016'!$C$59</f>
        <v>0</v>
      </c>
      <c r="AF10" s="61">
        <f>'[19]lit 2015'!$N$57</f>
        <v>0</v>
      </c>
      <c r="AG10" s="61">
        <f>'[19]lit 2015'!$L$57</f>
        <v>0</v>
      </c>
      <c r="AH10" s="61">
        <f>'[19]lit 2015'!$L$57</f>
        <v>0</v>
      </c>
      <c r="AI10" s="61">
        <f>'[20]lit 2015'!$K$57</f>
        <v>0</v>
      </c>
      <c r="AJ10" s="61">
        <f>'[20]lit 2015'!$J$57</f>
        <v>0</v>
      </c>
      <c r="AK10" s="61">
        <f>'[20]lit 2015'!$I$57</f>
        <v>0</v>
      </c>
      <c r="AL10" s="61">
        <f>'[21]lit 2015'!$H$57</f>
        <v>0</v>
      </c>
      <c r="AM10" s="135">
        <f>'[21]lit 2015'!$G$57</f>
        <v>0</v>
      </c>
      <c r="AN10" s="61">
        <f>'[21]lit 2015'!$F$57</f>
        <v>0</v>
      </c>
      <c r="AO10" s="61">
        <f>'[22]lit 2015'!$E$57</f>
        <v>0</v>
      </c>
      <c r="AP10" s="61">
        <f>'[22]lit 2015'!$D$57</f>
        <v>0</v>
      </c>
      <c r="AQ10" s="61">
        <f>'[22]lit 2015'!$C$57</f>
        <v>0</v>
      </c>
      <c r="AR10" s="61">
        <f>'[24]lit 2014'!$N$57</f>
        <v>0</v>
      </c>
      <c r="AS10" s="61">
        <f>'[24]lit 2014'!$M$57</f>
        <v>0</v>
      </c>
      <c r="AT10" s="61">
        <f>'[24]lit 2014'!$L$57</f>
        <v>0</v>
      </c>
      <c r="AU10" s="61">
        <f>'[25]lit 2014'!$K$57</f>
        <v>0</v>
      </c>
      <c r="AV10" s="61">
        <f>'[25]lit 2014'!$J$57</f>
        <v>0</v>
      </c>
      <c r="AW10" s="61">
        <f>'[25]lit 2014'!$I$57</f>
        <v>0</v>
      </c>
      <c r="AX10" s="61">
        <f>'[26]lit 2014'!$H$57</f>
        <v>0</v>
      </c>
      <c r="AY10" s="61">
        <f>'[26]lit 2014'!$G$57</f>
        <v>0</v>
      </c>
      <c r="AZ10" s="61">
        <f>'[26]lit 2014'!$F$57</f>
        <v>0</v>
      </c>
      <c r="BA10" s="61">
        <f>'[27]lit 2014'!$E$57</f>
        <v>0</v>
      </c>
      <c r="BB10" s="61">
        <f>'[27]lit 2014'!$D$57</f>
        <v>0</v>
      </c>
      <c r="BC10" s="61">
        <f>'[27]lit 2014'!$C$57</f>
        <v>0</v>
      </c>
      <c r="BD10" s="61">
        <f>'[28]lit 2013'!$N$57</f>
        <v>0</v>
      </c>
      <c r="BE10" s="61">
        <f>'[28]lit 2013'!$M$57</f>
        <v>0</v>
      </c>
      <c r="BF10" s="61">
        <f>'[28]lit 2013'!$L$57</f>
        <v>0</v>
      </c>
      <c r="BG10" s="61">
        <f>'[29]lit 2013'!$K$57</f>
        <v>0</v>
      </c>
      <c r="BH10" s="61">
        <f>'[29]lit 2013'!$J$57</f>
        <v>0</v>
      </c>
      <c r="BI10" s="61">
        <f>'[29]lit 2013'!$I$57</f>
        <v>0</v>
      </c>
      <c r="BJ10" s="61">
        <f>'[29]lit 2013'!$I$57</f>
        <v>0</v>
      </c>
      <c r="BK10" s="61">
        <f>'[30]lit 2012'!$G$57</f>
        <v>0</v>
      </c>
      <c r="BL10" s="135">
        <f>'[30]lit 2012'!$F$57</f>
        <v>0</v>
      </c>
      <c r="BM10" s="61">
        <f>'[31]lit 2012'!$E$57</f>
        <v>0</v>
      </c>
      <c r="BN10" s="61">
        <f>'[31]lit 2012'!$D$57</f>
        <v>0</v>
      </c>
      <c r="BO10" s="61">
        <f>'[31]lit 2012'!$C$57</f>
        <v>0</v>
      </c>
      <c r="BP10" s="61">
        <f>'[32]lit 2012'!$N$57</f>
        <v>0</v>
      </c>
      <c r="BQ10" s="61">
        <f>'[32]lit 2012'!$M$57</f>
        <v>0</v>
      </c>
      <c r="BR10" s="61">
        <f>'[32]lit 2012'!$L$57</f>
        <v>0</v>
      </c>
      <c r="BS10" s="61">
        <f>'[33]lit 2012'!$K$57</f>
        <v>0</v>
      </c>
      <c r="BT10" s="61">
        <f>'[33]lit 2012'!$J$57</f>
        <v>0</v>
      </c>
      <c r="BU10" s="61">
        <f>'[33]lit 2012'!$I$57</f>
        <v>0</v>
      </c>
      <c r="BV10" s="61">
        <f>'[34]lit 2012'!$H$57</f>
        <v>0</v>
      </c>
      <c r="BW10" s="61">
        <f>'[34]lit 2012'!$G$57</f>
        <v>0</v>
      </c>
      <c r="BX10" s="61">
        <f>'[34]lit 2012'!$F$57</f>
        <v>0</v>
      </c>
      <c r="BY10" s="61">
        <f>'[35]lit 2011'!$E$57</f>
        <v>0</v>
      </c>
      <c r="BZ10" s="61">
        <f>'[35]lit 2011'!$D$57</f>
        <v>0</v>
      </c>
      <c r="CA10" s="61">
        <f>-'[35]lit 2011'!$C$57</f>
        <v>0</v>
      </c>
      <c r="CB10" s="151">
        <f>'[36]lit 2011'!$N$57</f>
        <v>0</v>
      </c>
      <c r="CC10" s="134">
        <f>'[36]lit 2011'!$M$57</f>
        <v>0</v>
      </c>
      <c r="CD10" s="134">
        <f>'[36]lit 2011'!$L$57</f>
        <v>0</v>
      </c>
      <c r="CE10" s="61">
        <f>'[37]lit 2011'!$K$57</f>
        <v>0</v>
      </c>
      <c r="CF10" s="61">
        <f>'[37]lit 2011'!$J$57</f>
        <v>0</v>
      </c>
      <c r="CG10" s="61">
        <f>'[37]lit 2011'!$I$57</f>
        <v>0</v>
      </c>
      <c r="CH10" s="61">
        <f>'[38]lit 2011'!$H$57</f>
        <v>0</v>
      </c>
      <c r="CI10" s="61">
        <f>'[38]lit 2011'!$G$57</f>
        <v>0</v>
      </c>
      <c r="CJ10" s="135">
        <f>'[38]lit 2011'!$F$57</f>
        <v>0</v>
      </c>
      <c r="CK10" s="61">
        <f>'[39]lit 2011'!$E$57</f>
        <v>0</v>
      </c>
      <c r="CL10" s="61">
        <f>'[39]lit 2011'!$D$57</f>
        <v>0</v>
      </c>
      <c r="CM10" s="61">
        <f>'[39]lit 2011'!$C$57</f>
        <v>0</v>
      </c>
      <c r="CN10" s="61">
        <f>'[40]lit 2010'!$N$57</f>
        <v>0</v>
      </c>
      <c r="CO10" s="61">
        <f>'[40]lit 2010'!$M$57</f>
        <v>0</v>
      </c>
      <c r="CP10" s="61">
        <f>'[40]lit 2010'!$L$57</f>
        <v>0</v>
      </c>
      <c r="CQ10" s="61">
        <f>'[41]lit 2010'!$K$57</f>
        <v>0</v>
      </c>
      <c r="CR10" s="61">
        <f>'[41]lit 2010'!$J$57</f>
        <v>7500000</v>
      </c>
      <c r="CS10" s="61">
        <f>'[41]lit 2010'!$I$57</f>
        <v>7500000</v>
      </c>
      <c r="CT10" s="61">
        <f>'[43]lit 2010'!$H$57</f>
        <v>7500000</v>
      </c>
      <c r="CU10" s="61">
        <f>'[43]lit 2010'!$G$57</f>
        <v>0</v>
      </c>
      <c r="CV10" s="61">
        <f>'[43]lit 2010'!$F$57</f>
        <v>7500000</v>
      </c>
      <c r="CW10" s="61">
        <f>'[44]lit 2010'!$E$57</f>
        <v>7500000</v>
      </c>
      <c r="CX10" s="61">
        <f>'[45]lit 2010'!$D$56</f>
        <v>7500000</v>
      </c>
      <c r="CY10" s="61">
        <f>'[46]lit 2010'!$C$56</f>
        <v>7500000</v>
      </c>
      <c r="CZ10" s="61">
        <f>[47]lit2009!$N$57</f>
        <v>0</v>
      </c>
      <c r="DA10" s="61">
        <f>[47]lit2009!$M$57</f>
        <v>0</v>
      </c>
      <c r="DB10" s="61">
        <f>[47]lit2009!$L$57</f>
        <v>7500000</v>
      </c>
      <c r="DC10" s="61">
        <f>[48]lit2009!$K$54</f>
        <v>7500000</v>
      </c>
      <c r="DD10" s="61">
        <f>[48]lit2009!$J$54</f>
        <v>15000000</v>
      </c>
      <c r="DE10" s="61">
        <f>[48]lit2009!$I$54</f>
        <v>7500000</v>
      </c>
      <c r="DF10" s="61">
        <f>[49]lit2009!$H$54</f>
        <v>0</v>
      </c>
      <c r="DG10" s="61">
        <f>[49]lit2009!$G$54</f>
        <v>0</v>
      </c>
      <c r="DH10" s="61">
        <f>[49]lit2009!$F$54</f>
        <v>5000000</v>
      </c>
      <c r="DI10" s="61">
        <f>[50]lit2009!$E$54</f>
        <v>20000000</v>
      </c>
      <c r="DJ10" s="61">
        <f>[51]lit2009!$D$54</f>
        <v>19436997</v>
      </c>
      <c r="DK10" s="61">
        <f>[51]lit2009!$C$54</f>
        <v>20936997</v>
      </c>
      <c r="DL10" s="61">
        <f>[52]lit2008!$N$56</f>
        <v>3907075</v>
      </c>
      <c r="DM10" s="61">
        <f>[52]lit2008!$M$56</f>
        <v>0</v>
      </c>
      <c r="DN10" s="61">
        <f>[52]lit2008!$L$56</f>
        <v>0</v>
      </c>
      <c r="DO10" s="106">
        <f>[53]lit2008!$K$56</f>
        <v>0</v>
      </c>
      <c r="DP10" s="106">
        <f>[54]lit2008!$J$56</f>
        <v>7002530</v>
      </c>
      <c r="DQ10" s="106">
        <f>[55]lit2008!$I$56</f>
        <v>7002530</v>
      </c>
      <c r="DR10" s="61">
        <f>[56]lit2008!$H$56</f>
        <v>7002530</v>
      </c>
      <c r="DS10" s="61">
        <f>[56]lit2008!$G$56</f>
        <v>0</v>
      </c>
      <c r="DT10" s="61">
        <f>[57]lit2008!$F$56</f>
        <v>0</v>
      </c>
      <c r="DU10" s="97">
        <f>[58]lit2008!$E$56</f>
        <v>0</v>
      </c>
      <c r="DV10" s="61">
        <f>[59]lit2007!$D$56</f>
        <v>16080353</v>
      </c>
      <c r="DW10" s="61">
        <f>[60]lit2007!$C$56</f>
        <v>16080353</v>
      </c>
      <c r="DX10" s="57">
        <f>[61]lit2007!N56</f>
        <v>7080353</v>
      </c>
      <c r="DY10" s="57">
        <f>[61]lit2007!M56</f>
        <v>0</v>
      </c>
      <c r="DZ10" s="57">
        <f>[61]lit2007!L56</f>
        <v>0</v>
      </c>
      <c r="EA10" s="57">
        <f>[62]lit2007!K56</f>
        <v>0</v>
      </c>
      <c r="EB10" s="57">
        <f>[62]lit2007!J56</f>
        <v>0</v>
      </c>
      <c r="EC10" s="57">
        <f>[62]lit2007!I56</f>
        <v>0</v>
      </c>
      <c r="ED10" s="57">
        <v>0</v>
      </c>
      <c r="EE10" s="57">
        <v>0</v>
      </c>
      <c r="EF10" s="57">
        <v>0</v>
      </c>
      <c r="EG10" s="57">
        <f>[65]lit2006!E56</f>
        <v>0</v>
      </c>
      <c r="EH10" s="57">
        <f>[65]lit2006!D56</f>
        <v>0</v>
      </c>
      <c r="EI10" s="57">
        <f>[65]lit2006!C56</f>
        <v>0</v>
      </c>
      <c r="EJ10" s="14">
        <f>[66]lit2006!$N$56</f>
        <v>0</v>
      </c>
      <c r="EK10" s="14">
        <f>[67]lit2006!$M$56</f>
        <v>0</v>
      </c>
      <c r="EL10" s="14">
        <f>[68]lit2006!$L$56</f>
        <v>0</v>
      </c>
      <c r="EM10" s="14">
        <f>[69]lit2006!$K$56</f>
        <v>0</v>
      </c>
      <c r="EN10" s="14">
        <f>[72]lit2006!$J$56</f>
        <v>11907698</v>
      </c>
      <c r="EO10" s="14">
        <f>[70]lit2006!$I$56</f>
        <v>11907698</v>
      </c>
      <c r="EP10" s="14">
        <f>[70]lit2006!$H$56</f>
        <v>11907698</v>
      </c>
      <c r="EQ10" s="14">
        <f>[71]lit2006!$G$56</f>
        <v>11907698</v>
      </c>
      <c r="ER10" s="14">
        <f>[71]lit2006!$F$56</f>
        <v>11907698</v>
      </c>
      <c r="ES10" s="14">
        <f>[71]lit2006!$E$56</f>
        <v>11907698</v>
      </c>
      <c r="ET10" s="14">
        <f>[71]lit2006!$D$56</f>
        <v>11800956</v>
      </c>
      <c r="EU10" s="14">
        <f>[71]lit2006!$C$56</f>
        <v>11800956</v>
      </c>
      <c r="EW10" s="4">
        <f>SUM(EJ10:EU10)</f>
        <v>95048100</v>
      </c>
    </row>
    <row r="11" spans="1:153" ht="15" customHeight="1" x14ac:dyDescent="0.25">
      <c r="A11" s="2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5"/>
      <c r="DA11" s="85"/>
      <c r="DB11" s="85"/>
      <c r="DC11" s="8"/>
      <c r="DD11" s="8"/>
      <c r="DE11" s="8"/>
      <c r="DF11" s="8"/>
      <c r="DG11" s="8"/>
      <c r="DH11" s="8"/>
      <c r="DI11" s="85"/>
      <c r="DJ11" s="85"/>
      <c r="DK11" s="85"/>
      <c r="DL11" s="85"/>
      <c r="DM11" s="85"/>
      <c r="DN11" s="85"/>
      <c r="DO11" s="8"/>
      <c r="DP11" s="8"/>
      <c r="DQ11" s="85"/>
      <c r="DR11" s="85"/>
      <c r="DS11" s="85"/>
      <c r="DT11" s="8"/>
      <c r="DU11" s="85"/>
      <c r="DV11" s="85"/>
      <c r="DW11" s="85"/>
      <c r="DX11" s="8"/>
      <c r="DY11" s="8"/>
      <c r="DZ11" s="8"/>
      <c r="EA11" s="8"/>
      <c r="EB11" s="8"/>
      <c r="EC11" s="8"/>
      <c r="ED11" s="8"/>
      <c r="EE11" s="8"/>
      <c r="EF11" s="8"/>
      <c r="EG11" s="37"/>
      <c r="EH11" s="37"/>
      <c r="EI11" s="37"/>
      <c r="EJ11" s="15"/>
      <c r="EK11" s="15"/>
      <c r="EL11" s="15"/>
      <c r="EM11" s="15"/>
      <c r="EN11" s="15"/>
      <c r="EO11" s="15"/>
      <c r="EP11" s="15"/>
      <c r="EQ11" s="15"/>
      <c r="ER11" s="15"/>
      <c r="ES11" s="15"/>
      <c r="ET11" s="15"/>
      <c r="EU11" s="15"/>
    </row>
    <row r="12" spans="1:153" ht="15" hidden="1" customHeight="1" x14ac:dyDescent="0.25">
      <c r="A12" s="28">
        <v>3</v>
      </c>
      <c r="B12" s="124" t="s">
        <v>5</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9"/>
      <c r="CX12" s="9"/>
      <c r="CY12" s="9"/>
      <c r="CZ12" s="61">
        <v>0</v>
      </c>
      <c r="DA12" s="61">
        <v>0</v>
      </c>
      <c r="DB12" s="61">
        <v>0</v>
      </c>
      <c r="DC12" s="61">
        <v>0</v>
      </c>
      <c r="DD12" s="61">
        <v>0</v>
      </c>
      <c r="DE12" s="61">
        <v>0</v>
      </c>
      <c r="DF12" s="61">
        <v>0</v>
      </c>
      <c r="DG12" s="61">
        <v>0</v>
      </c>
      <c r="DH12" s="61">
        <v>0</v>
      </c>
      <c r="DI12" s="61">
        <v>0</v>
      </c>
      <c r="DJ12" s="61">
        <v>0</v>
      </c>
      <c r="DK12" s="61">
        <v>0</v>
      </c>
      <c r="DL12" s="61">
        <v>0</v>
      </c>
      <c r="DM12" s="61">
        <v>0</v>
      </c>
      <c r="DN12" s="61">
        <v>0</v>
      </c>
      <c r="DO12" s="61">
        <v>0</v>
      </c>
      <c r="DP12" s="61">
        <v>0</v>
      </c>
      <c r="DQ12" s="61">
        <v>0</v>
      </c>
      <c r="DR12" s="61">
        <v>0</v>
      </c>
      <c r="DS12" s="61">
        <v>0</v>
      </c>
      <c r="DT12" s="57">
        <v>0</v>
      </c>
      <c r="DU12" s="57">
        <v>0</v>
      </c>
      <c r="DV12" s="57">
        <v>0</v>
      </c>
      <c r="DW12" s="57">
        <v>0</v>
      </c>
      <c r="DX12" s="57">
        <v>0</v>
      </c>
      <c r="DY12" s="57">
        <v>0</v>
      </c>
      <c r="DZ12" s="57">
        <v>0</v>
      </c>
      <c r="EA12" s="57">
        <v>0</v>
      </c>
      <c r="EB12" s="57">
        <v>0</v>
      </c>
      <c r="EC12" s="57">
        <v>0</v>
      </c>
      <c r="ED12" s="57">
        <v>0</v>
      </c>
      <c r="EE12" s="57">
        <v>0</v>
      </c>
      <c r="EF12" s="57">
        <v>0</v>
      </c>
      <c r="EG12" s="57">
        <v>0</v>
      </c>
      <c r="EH12" s="57">
        <v>0</v>
      </c>
      <c r="EI12" s="57">
        <v>0</v>
      </c>
      <c r="EJ12" s="14">
        <v>0</v>
      </c>
      <c r="EK12" s="14">
        <v>0</v>
      </c>
      <c r="EL12" s="14">
        <v>0</v>
      </c>
      <c r="EM12" s="14">
        <v>0</v>
      </c>
      <c r="EN12" s="14">
        <v>0</v>
      </c>
      <c r="EO12" s="14">
        <v>0</v>
      </c>
      <c r="EP12" s="14">
        <v>0</v>
      </c>
      <c r="EQ12" s="14">
        <v>0</v>
      </c>
      <c r="ER12" s="14">
        <v>0</v>
      </c>
      <c r="ES12" s="14">
        <v>0</v>
      </c>
      <c r="ET12" s="14">
        <v>0</v>
      </c>
      <c r="EU12" s="14">
        <v>0</v>
      </c>
    </row>
    <row r="13" spans="1:153" ht="15" hidden="1" customHeight="1" x14ac:dyDescent="0.25">
      <c r="A13" s="28"/>
      <c r="B13" s="272" t="s">
        <v>27</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3"/>
      <c r="DA13" s="273"/>
      <c r="DB13" s="273"/>
      <c r="DC13" s="35"/>
      <c r="DD13" s="35"/>
      <c r="DE13" s="35"/>
      <c r="DF13" s="35"/>
      <c r="DG13" s="35"/>
      <c r="DH13" s="35"/>
      <c r="DI13" s="103"/>
      <c r="DJ13" s="103"/>
      <c r="DK13" s="103"/>
      <c r="DL13" s="103"/>
      <c r="DM13" s="103"/>
      <c r="DN13" s="103"/>
      <c r="DO13" s="35"/>
      <c r="DP13" s="35"/>
      <c r="DQ13" s="103"/>
      <c r="DR13" s="103"/>
      <c r="DS13" s="103"/>
      <c r="DT13" s="35"/>
      <c r="DU13" s="100"/>
      <c r="DV13" s="100"/>
      <c r="DW13" s="100"/>
      <c r="DX13" s="35"/>
      <c r="DY13" s="35"/>
      <c r="DZ13" s="35"/>
      <c r="EA13" s="78"/>
      <c r="EB13" s="78"/>
      <c r="EC13" s="78"/>
      <c r="ED13" s="35"/>
      <c r="EE13" s="35"/>
      <c r="EF13" s="35"/>
      <c r="EG13" s="37"/>
      <c r="EH13" s="37"/>
      <c r="EI13" s="37"/>
      <c r="EJ13" s="15"/>
      <c r="EK13" s="15"/>
      <c r="EL13" s="15"/>
      <c r="EM13" s="15"/>
      <c r="EN13" s="15"/>
      <c r="EO13" s="15"/>
      <c r="EP13" s="15"/>
      <c r="EQ13" s="15"/>
      <c r="ER13" s="15"/>
      <c r="ES13" s="15"/>
      <c r="ET13" s="15"/>
      <c r="EU13" s="15"/>
    </row>
    <row r="14" spans="1:153" ht="15.75" x14ac:dyDescent="0.25">
      <c r="A14" s="28">
        <v>3</v>
      </c>
      <c r="B14" s="9" t="s">
        <v>6</v>
      </c>
      <c r="C14" s="167">
        <f>'[1]lit 2020'!$K$64</f>
        <v>87873078.719999999</v>
      </c>
      <c r="D14" s="167">
        <f>'[2]lit 2020'!$H$64</f>
        <v>91582380</v>
      </c>
      <c r="E14" s="167">
        <f>'[2]lit 2020'!$E$64</f>
        <v>102167585</v>
      </c>
      <c r="F14" s="167">
        <f>'[3]lit 2019'!$N$64</f>
        <v>98828788</v>
      </c>
      <c r="G14" s="167">
        <f>'[4]lit 2019'!$K$64</f>
        <v>100230840</v>
      </c>
      <c r="H14" s="167">
        <f>'[5]lit 2019'!$H$64</f>
        <v>104056563</v>
      </c>
      <c r="I14" s="167">
        <f>'[6]lit 2018'!$E$64</f>
        <v>91378613</v>
      </c>
      <c r="J14" s="167">
        <f>'[7]lit 2018'!$N$64</f>
        <v>96554565</v>
      </c>
      <c r="K14" s="167">
        <f>'[8]lit 2018'!$K$64</f>
        <v>98364226</v>
      </c>
      <c r="L14" s="167">
        <f>'[9]lit 2018'!$H$64</f>
        <v>102643753</v>
      </c>
      <c r="M14" s="167">
        <f>'[10]lit 2018'!$E$64</f>
        <v>107227855</v>
      </c>
      <c r="N14" s="167">
        <f>'[11]lit 2017'!$N$64</f>
        <v>115991439</v>
      </c>
      <c r="O14" s="167">
        <f>'[12]lit 2017'!$K$64</f>
        <v>121229425</v>
      </c>
      <c r="P14" s="167">
        <f>'[13]lit 2017'!$H$64</f>
        <v>125357743.48</v>
      </c>
      <c r="Q14" s="167">
        <f>'[14]lit 2017'!$E$64</f>
        <v>130458173.58</v>
      </c>
      <c r="R14" s="104">
        <f>'[14]lit 2017'!$D$64</f>
        <v>132274278</v>
      </c>
      <c r="S14" s="104">
        <f>'[14]lit 2017'!$C$64</f>
        <v>134738762</v>
      </c>
      <c r="T14" s="104">
        <f>'[15]lit 2016'!$N$64</f>
        <v>137358619</v>
      </c>
      <c r="U14" s="104">
        <f>'[15]lit 2016'!$M$64</f>
        <v>138250553</v>
      </c>
      <c r="V14" s="104">
        <f>'[15]lit 2016'!$L$64</f>
        <v>133909880.40000001</v>
      </c>
      <c r="W14" s="167">
        <f>'[16]lit 2016'!$K$64</f>
        <v>129000603</v>
      </c>
      <c r="X14" s="167">
        <f>'[16]lit 2016'!$J$64</f>
        <v>130292871.40000001</v>
      </c>
      <c r="Y14" s="166">
        <f>'[16]lit 2016'!$I$64</f>
        <v>119589895</v>
      </c>
      <c r="Z14" s="104">
        <f>'[17]lit 2016'!$H$64</f>
        <v>122106679</v>
      </c>
      <c r="AA14" s="104">
        <f>'[17]lit 2016'!$G$64</f>
        <v>123706806.06999999</v>
      </c>
      <c r="AB14" s="104">
        <f>'[17]lit 2016'!$F$64</f>
        <v>119323281</v>
      </c>
      <c r="AC14" s="104">
        <f>'[18]lit 2016'!$E$64</f>
        <v>120982767</v>
      </c>
      <c r="AD14" s="104">
        <f>'[18]lit 2016'!$D$64</f>
        <v>122776220</v>
      </c>
      <c r="AE14" s="104">
        <f>'[18]lit 2016'!$C$64</f>
        <v>124420372</v>
      </c>
      <c r="AF14" s="186">
        <f>'[19]lit 2015'!$N$64</f>
        <v>127799882.86</v>
      </c>
      <c r="AG14" s="140">
        <f>'[19]lit 2015'!$M$64</f>
        <v>128882384</v>
      </c>
      <c r="AH14" s="101">
        <f>'[19]lit 2015'!$L$64</f>
        <v>129394884</v>
      </c>
      <c r="AI14" s="104">
        <f>'[20]lit 2015'!$K$62</f>
        <v>130713436</v>
      </c>
      <c r="AJ14" s="101">
        <f>'[20]lit 2015'!$J$62</f>
        <v>131956592</v>
      </c>
      <c r="AK14" s="101">
        <f>'[20]lit 2015'!$I$62</f>
        <v>132334715.61</v>
      </c>
      <c r="AL14" s="104">
        <f>'[21]lit 2015'!$H$62</f>
        <v>134468742.28</v>
      </c>
      <c r="AM14" s="104">
        <f>'[21]lit 2015'!$G$62</f>
        <v>137099326</v>
      </c>
      <c r="AN14" s="101">
        <f>'[21]lit 2015'!$F$62</f>
        <v>142326969</v>
      </c>
      <c r="AO14" s="104">
        <f>'[22]lit 2015'!$E$62</f>
        <v>143916315.19999999</v>
      </c>
      <c r="AP14" s="104">
        <f>'[22]lit 2015'!$D$62</f>
        <v>145277909</v>
      </c>
      <c r="AQ14" s="104">
        <f>'[22]lit 2015'!$C$62</f>
        <v>153954264.41</v>
      </c>
      <c r="AR14" s="104">
        <f>'[23]lit 2014'!$N$62</f>
        <v>158891596</v>
      </c>
      <c r="AS14" s="104">
        <f>'[24]lit 2014'!$M$62</f>
        <v>159824697</v>
      </c>
      <c r="AT14" s="101">
        <f>'[24]lit 2014'!$L$62</f>
        <v>168338078</v>
      </c>
      <c r="AU14" s="104">
        <f>'[25]lit 2014'!$K$62</f>
        <v>169553303.63999999</v>
      </c>
      <c r="AV14" s="101">
        <f>'[25]lit 2014'!$J$62</f>
        <v>171302021.63999999</v>
      </c>
      <c r="AW14" s="101">
        <f>'[25]lit 2014'!$I$62</f>
        <v>171982995.63999999</v>
      </c>
      <c r="AX14" s="167">
        <f>'[26]lit 2014'!$H$62</f>
        <v>174227022.31</v>
      </c>
      <c r="AY14" s="167">
        <f>'[26]lit 2014'!$G$62</f>
        <v>183008047.31</v>
      </c>
      <c r="AZ14" s="166">
        <f>'[26]lit 2014'!$F$62</f>
        <v>184344236.31</v>
      </c>
      <c r="BA14" s="104">
        <f>'[27]lit 2014'!$E$62</f>
        <v>185658893.41</v>
      </c>
      <c r="BB14" s="104">
        <f>'[27]lit 2014'!$D$62</f>
        <v>187666261.87</v>
      </c>
      <c r="BC14" s="104">
        <f>'[27]lit 2014'!$C$62</f>
        <v>190528733.62</v>
      </c>
      <c r="BD14" s="104">
        <f>'[28]lit 2013'!$N$62</f>
        <v>194202985</v>
      </c>
      <c r="BE14" s="104">
        <f>'[28]lit 2013'!$M$62</f>
        <v>196589624.84999999</v>
      </c>
      <c r="BF14" s="101">
        <f>'[28]lit 2013'!$L$62</f>
        <v>198952125</v>
      </c>
      <c r="BG14" s="104">
        <f>'[29]lit 2013'!$K$62</f>
        <v>200270677</v>
      </c>
      <c r="BH14" s="104">
        <f>'[29]lit 2013'!$J$62</f>
        <v>201964075.84999999</v>
      </c>
      <c r="BI14" s="101">
        <f>'[29]lit 2013'!$I$62</f>
        <v>203471716.52000001</v>
      </c>
      <c r="BJ14" s="104">
        <f>'[30]lit 2012'!$H$62</f>
        <v>206139077</v>
      </c>
      <c r="BK14" s="104">
        <f>'[30]lit 2012'!$G$62</f>
        <v>208596660.52000001</v>
      </c>
      <c r="BL14" s="101">
        <f>'[30]lit 2012'!$F$62</f>
        <v>210392545.52000001</v>
      </c>
      <c r="BM14" s="104">
        <f>'[31]lit 2012'!$E$62</f>
        <v>211795702.62</v>
      </c>
      <c r="BN14" s="104">
        <f>'[31]lit 2012'!$D$62</f>
        <v>217141487.08000001</v>
      </c>
      <c r="BO14" s="101">
        <f>'[31]lit 2012'!$C$62</f>
        <v>224454638.83000001</v>
      </c>
      <c r="BP14" s="104">
        <f>'[32]lit 2012'!$N$62</f>
        <v>236239205.52000001</v>
      </c>
      <c r="BQ14" s="104">
        <f>'[32]lit 2012'!$M$62</f>
        <v>236943696.27000001</v>
      </c>
      <c r="BR14" s="101">
        <f>'[32]lit 2012'!$L$62</f>
        <v>237600196.27000001</v>
      </c>
      <c r="BS14" s="104">
        <f>'[33]lit 2012'!$K$62</f>
        <v>239005470.27000001</v>
      </c>
      <c r="BT14" s="104">
        <f>'[33]lit 2012'!$J$62</f>
        <v>241384769.27000001</v>
      </c>
      <c r="BU14" s="104">
        <f>'[33]lit 2012'!$I$62</f>
        <v>242686259.94</v>
      </c>
      <c r="BV14" s="143">
        <f>'[34]lit 2012'!$H$62</f>
        <v>244286505.94</v>
      </c>
      <c r="BW14" s="101">
        <f>'[34]lit 2012'!$G$62</f>
        <v>248638768.19</v>
      </c>
      <c r="BX14" s="101">
        <f>'[34]lit 2012'!$F$62</f>
        <v>250726957.19</v>
      </c>
      <c r="BY14" s="104">
        <f>'[35]lit 2011'!$E$62</f>
        <v>251610214</v>
      </c>
      <c r="BZ14" s="104">
        <f>'[35]lit 2011'!$D$62</f>
        <v>254249399.75</v>
      </c>
      <c r="CA14" s="101">
        <f>'[35]lit 2011'!$C$62</f>
        <v>258684974</v>
      </c>
      <c r="CB14" s="140">
        <f>'[36]lit 2011'!$N$62</f>
        <v>262348010.06999999</v>
      </c>
      <c r="CC14" s="140">
        <f>'[36]lit 2011'!$M$62</f>
        <v>263755536.81999999</v>
      </c>
      <c r="CD14" s="139">
        <f>'[36]lit 2011'!$L$62</f>
        <v>264451921.81999999</v>
      </c>
      <c r="CE14" s="104">
        <f>'[37]lit 2011'!$K$62</f>
        <v>265993643</v>
      </c>
      <c r="CF14" s="104">
        <f>'[37]lit 2011'!$J$62</f>
        <v>274016820</v>
      </c>
      <c r="CG14" s="101">
        <f>'[37]lit 2011'!$I$62</f>
        <v>275871796</v>
      </c>
      <c r="CH14" s="101">
        <f>'[38]lit 2011'!$H$62</f>
        <v>277676806</v>
      </c>
      <c r="CI14" s="104">
        <f>'[38]lit 2011'!$G$62</f>
        <v>281154449</v>
      </c>
      <c r="CJ14" s="101">
        <f>'[38]lit 2011'!$F$62</f>
        <v>283665638</v>
      </c>
      <c r="CK14" s="101">
        <f>'[39]lit 2011'!$E$62</f>
        <v>285370086</v>
      </c>
      <c r="CL14" s="104">
        <f>'[39]lit 2011'!$D$62</f>
        <v>288125556</v>
      </c>
      <c r="CM14" s="104">
        <f>'[39]lit 2011'!$C$62</f>
        <v>290779442</v>
      </c>
      <c r="CN14" s="104">
        <f>'[40]lit 2010'!$N$62</f>
        <v>297013703</v>
      </c>
      <c r="CO14" s="104">
        <f>'[40]lit 2010'!$M$62</f>
        <v>298072205</v>
      </c>
      <c r="CP14" s="101">
        <f>'[40]lit 2010'!$L$62</f>
        <v>298884570</v>
      </c>
      <c r="CQ14" s="131">
        <f>'[41]lit 2010'!$K$62</f>
        <v>300871375</v>
      </c>
      <c r="CR14" s="131">
        <f>'[41]lit 2010'!$J$62</f>
        <v>296341740</v>
      </c>
      <c r="CS14" s="130">
        <f>'[41]lit 2010'!$I$62</f>
        <v>298127536</v>
      </c>
      <c r="CT14" s="104">
        <f>'[43]lit 2010'!$H$62</f>
        <v>300876814</v>
      </c>
      <c r="CU14" s="104">
        <f>'[43]lit 2010'!$G$62</f>
        <v>303852249</v>
      </c>
      <c r="CV14" s="101">
        <f>'[43]lit 2010'!$F$62</f>
        <v>298337114</v>
      </c>
      <c r="CW14" s="104">
        <f>'[44]lit 2010'!$E$62</f>
        <v>299922055</v>
      </c>
      <c r="CX14" s="101">
        <f>'[45]lit 2010'!$D$61</f>
        <v>302706251</v>
      </c>
      <c r="CY14" s="101">
        <f>'[46]lit 2010'!$C$61</f>
        <v>305859746</v>
      </c>
      <c r="CZ14" s="104">
        <f>[47]lit2009!$N$62</f>
        <v>312050993</v>
      </c>
      <c r="DA14" s="104">
        <f>[47]lit2009!$M$62</f>
        <v>313247900</v>
      </c>
      <c r="DB14" s="104">
        <f>[47]lit2009!$L$62</f>
        <v>306957972</v>
      </c>
      <c r="DC14" s="101">
        <f>[48]lit2009!$K$59</f>
        <v>308778567</v>
      </c>
      <c r="DD14" s="101">
        <f>[48]lit2009!$J$59</f>
        <v>304226126</v>
      </c>
      <c r="DE14" s="101">
        <f>[48]lit2009!$I$59</f>
        <v>307110099.08999997</v>
      </c>
      <c r="DF14" s="101">
        <f>[49]lit2009!$H$59</f>
        <v>309143318</v>
      </c>
      <c r="DG14" s="101">
        <f>[49]lit2009!$G$59</f>
        <v>312159383</v>
      </c>
      <c r="DH14" s="101">
        <f>[49]lit2009!$F$59</f>
        <v>309061475</v>
      </c>
      <c r="DI14" s="104">
        <f>[50]lit2009!$E$59</f>
        <v>295861366</v>
      </c>
      <c r="DJ14" s="104">
        <f>[51]lit2009!$D$59</f>
        <v>297984192</v>
      </c>
      <c r="DK14" s="104">
        <f>[51]lit2009!$C$59</f>
        <v>300855421</v>
      </c>
      <c r="DL14" s="104">
        <f>[52]lit2008!$N$61</f>
        <v>305754974</v>
      </c>
      <c r="DM14" s="104">
        <f>[52]lit2008!$M$61</f>
        <v>307114378</v>
      </c>
      <c r="DN14" s="101">
        <f>[52]lit2008!$L$61</f>
        <v>308525658</v>
      </c>
      <c r="DO14" s="107">
        <f>[53]lit2008!$K$61</f>
        <v>310606111</v>
      </c>
      <c r="DP14" s="107">
        <f>[54]lit2008!$J$61</f>
        <v>306605279</v>
      </c>
      <c r="DQ14" s="107">
        <f>[55]lit2008!$I$61</f>
        <v>309500891</v>
      </c>
      <c r="DR14" s="104">
        <f>[56]lit2008!$H$61</f>
        <v>312264692</v>
      </c>
      <c r="DS14" s="104">
        <f>[56]lit2008!$G$61</f>
        <v>315713566</v>
      </c>
      <c r="DT14" s="101">
        <f>[57]lit2008!$F$61</f>
        <v>317788255</v>
      </c>
      <c r="DU14" s="99">
        <f>[58]lit2008!$E$61</f>
        <v>319274452.49000001</v>
      </c>
      <c r="DV14" s="93">
        <f>[59]lit2007!$D$61</f>
        <v>305772455</v>
      </c>
      <c r="DW14" s="94">
        <f>[59]lit2007!$C$61</f>
        <v>310159998</v>
      </c>
      <c r="DX14" s="95">
        <f>[61]lit2007!N61</f>
        <v>313838007</v>
      </c>
      <c r="DY14" s="65">
        <f>[61]lit2007!M61</f>
        <v>315610270</v>
      </c>
      <c r="DZ14" s="65">
        <f>[61]lit2007!L61</f>
        <v>317232050</v>
      </c>
      <c r="EA14" s="65">
        <f>[62]lit2007!K61</f>
        <v>319251105.23000002</v>
      </c>
      <c r="EB14" s="65">
        <f>[62]lit2007!J61</f>
        <v>323106569</v>
      </c>
      <c r="EC14" s="65">
        <f>[62]lit2007!I61</f>
        <v>325575540</v>
      </c>
      <c r="ED14" s="65">
        <f>[63]lit2006!$H$61</f>
        <v>328247101.89999998</v>
      </c>
      <c r="EE14" s="65">
        <f>[63]lit2006!$G$61</f>
        <v>331156397</v>
      </c>
      <c r="EF14" s="65">
        <f>[63]lit2006!$F$61</f>
        <v>333855631</v>
      </c>
      <c r="EG14" s="65">
        <f>[65]lit2006!E61</f>
        <v>335797035</v>
      </c>
      <c r="EH14" s="65">
        <f>[65]lit2006!D61</f>
        <v>338218616</v>
      </c>
      <c r="EI14" s="65">
        <f>[65]lit2006!C61</f>
        <v>341200913.45999998</v>
      </c>
      <c r="EJ14" s="29">
        <f>[66]lit2006!$N$61</f>
        <v>346801400</v>
      </c>
      <c r="EK14" s="29">
        <f>[67]lit2006!$M$61</f>
        <v>348889845</v>
      </c>
      <c r="EL14" s="29">
        <f>[68]lit2006!$L$61</f>
        <v>350526689</v>
      </c>
      <c r="EM14" s="29">
        <f>[69]lit2006!$K$61</f>
        <v>352360796</v>
      </c>
      <c r="EN14" s="29">
        <f>[72]lit2006!$J$61</f>
        <v>344609514</v>
      </c>
      <c r="EO14" s="29">
        <f>[70]lit2006!$I$61</f>
        <v>347140561</v>
      </c>
      <c r="EP14" s="29">
        <f>[70]lit2006!$H$61</f>
        <v>350892364</v>
      </c>
      <c r="EQ14" s="31">
        <f>[71]lit2006!$G$61</f>
        <v>353040406</v>
      </c>
      <c r="ER14" s="31">
        <f>[71]lit2006!$F$61</f>
        <v>356293012</v>
      </c>
      <c r="ES14" s="31">
        <f>[71]lit2006!$E$61</f>
        <v>357468823</v>
      </c>
      <c r="ET14" s="31">
        <f>[71]lit2006!$D$61</f>
        <v>360277653</v>
      </c>
      <c r="EU14" s="31">
        <f>[71]lit2006!$C$61</f>
        <v>363266351</v>
      </c>
      <c r="EW14" s="4">
        <f>SUM(EJ14:EU14)</f>
        <v>4231567414</v>
      </c>
    </row>
    <row r="15" spans="1:153" ht="15" customHeight="1" x14ac:dyDescent="0.25">
      <c r="A15" s="2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5"/>
      <c r="DA15" s="85"/>
      <c r="DB15" s="85"/>
      <c r="DC15" s="8"/>
      <c r="DD15" s="8"/>
      <c r="DE15" s="8"/>
      <c r="DF15" s="8"/>
      <c r="DG15" s="8"/>
      <c r="DH15" s="8"/>
      <c r="DI15" s="85"/>
      <c r="DJ15" s="85"/>
      <c r="DK15" s="85"/>
      <c r="DL15" s="85"/>
      <c r="DM15" s="85"/>
      <c r="DN15" s="85"/>
      <c r="DO15" s="8"/>
      <c r="DP15" s="8"/>
      <c r="DQ15" s="8"/>
      <c r="DR15" s="85"/>
      <c r="DS15" s="85"/>
      <c r="DT15" s="8"/>
      <c r="DU15" s="85"/>
      <c r="DV15" s="85"/>
      <c r="DW15" s="85"/>
      <c r="DX15" s="8"/>
      <c r="DY15" s="8"/>
      <c r="DZ15" s="8"/>
      <c r="EA15" s="8"/>
      <c r="EB15" s="8"/>
      <c r="EC15" s="8"/>
      <c r="ED15" s="8"/>
      <c r="EE15" s="8"/>
      <c r="EF15" s="8"/>
      <c r="EG15" s="66"/>
      <c r="EH15" s="66"/>
      <c r="EI15" s="66"/>
      <c r="EJ15" s="16"/>
      <c r="EK15" s="16"/>
      <c r="EL15" s="16"/>
      <c r="EM15" s="16"/>
      <c r="EN15" s="16"/>
      <c r="EO15" s="16"/>
      <c r="EP15" s="16"/>
      <c r="EQ15" s="16"/>
      <c r="ER15" s="16"/>
      <c r="ES15" s="16"/>
      <c r="ET15" s="16"/>
      <c r="EU15" s="16"/>
    </row>
    <row r="16" spans="1:153" ht="15" customHeight="1" x14ac:dyDescent="0.25">
      <c r="A16" s="28">
        <v>4</v>
      </c>
      <c r="B16" s="8" t="s">
        <v>30</v>
      </c>
      <c r="C16" s="70">
        <f t="shared" ref="C16:M16" si="0">SUM(C8:C14)</f>
        <v>271782383.72000003</v>
      </c>
      <c r="D16" s="70">
        <f t="shared" si="0"/>
        <v>219529960</v>
      </c>
      <c r="E16" s="70">
        <f t="shared" si="0"/>
        <v>203492932</v>
      </c>
      <c r="F16" s="70">
        <f t="shared" si="0"/>
        <v>193962843</v>
      </c>
      <c r="G16" s="70">
        <f t="shared" si="0"/>
        <v>254223890.88</v>
      </c>
      <c r="H16" s="70">
        <f t="shared" si="0"/>
        <v>204628395</v>
      </c>
      <c r="I16" s="70">
        <f t="shared" si="0"/>
        <v>190398193</v>
      </c>
      <c r="J16" s="70">
        <f t="shared" si="0"/>
        <v>178210421</v>
      </c>
      <c r="K16" s="70">
        <f t="shared" si="0"/>
        <v>307766094</v>
      </c>
      <c r="L16" s="70">
        <f t="shared" si="0"/>
        <v>217360827</v>
      </c>
      <c r="M16" s="70">
        <f t="shared" si="0"/>
        <v>202327228</v>
      </c>
      <c r="N16" s="70">
        <f t="shared" ref="N16:S16" si="1">SUM(N8:N14)</f>
        <v>187441481</v>
      </c>
      <c r="O16" s="70">
        <f t="shared" si="1"/>
        <v>354209640</v>
      </c>
      <c r="P16" s="70">
        <f t="shared" si="1"/>
        <v>261346266.48000002</v>
      </c>
      <c r="Q16" s="70">
        <f t="shared" si="1"/>
        <v>246584573.57999998</v>
      </c>
      <c r="R16" s="70">
        <f t="shared" si="1"/>
        <v>240104676</v>
      </c>
      <c r="S16" s="70">
        <f t="shared" si="1"/>
        <v>233365940</v>
      </c>
      <c r="T16" s="70">
        <f t="shared" ref="T16:AB16" si="2">SUM(T8:T15)</f>
        <v>232905552</v>
      </c>
      <c r="U16" s="70">
        <f t="shared" si="2"/>
        <v>446666778</v>
      </c>
      <c r="V16" s="70">
        <f t="shared" si="2"/>
        <v>264200112.5</v>
      </c>
      <c r="W16" s="70">
        <f t="shared" si="2"/>
        <v>257740527</v>
      </c>
      <c r="X16" s="70">
        <f t="shared" si="2"/>
        <v>251221806.40000001</v>
      </c>
      <c r="Y16" s="70">
        <f t="shared" si="2"/>
        <v>203815331</v>
      </c>
      <c r="Z16" s="70">
        <f t="shared" si="2"/>
        <v>197325476</v>
      </c>
      <c r="AA16" s="70">
        <f t="shared" si="2"/>
        <v>192097654.06999999</v>
      </c>
      <c r="AB16" s="70">
        <f t="shared" si="2"/>
        <v>185583931</v>
      </c>
      <c r="AC16" s="70">
        <f t="shared" ref="AC16:AX16" si="3">SUM(AC8:AC15)</f>
        <v>182335110.25</v>
      </c>
      <c r="AD16" s="70">
        <f t="shared" si="3"/>
        <v>145053819</v>
      </c>
      <c r="AE16" s="70">
        <f t="shared" si="3"/>
        <v>137197734</v>
      </c>
      <c r="AF16" s="70">
        <f t="shared" si="3"/>
        <v>136181510.86000001</v>
      </c>
      <c r="AG16" s="70">
        <f t="shared" si="3"/>
        <v>489093408</v>
      </c>
      <c r="AH16" s="70">
        <f t="shared" si="3"/>
        <v>391857649.16000003</v>
      </c>
      <c r="AI16" s="70">
        <f t="shared" si="3"/>
        <v>443086464</v>
      </c>
      <c r="AJ16" s="70">
        <f t="shared" si="3"/>
        <v>435650018</v>
      </c>
      <c r="AK16" s="70">
        <f t="shared" si="3"/>
        <v>218832970.61000001</v>
      </c>
      <c r="AL16" s="70">
        <f t="shared" si="3"/>
        <v>211603414.28</v>
      </c>
      <c r="AM16" s="70">
        <f t="shared" si="3"/>
        <v>205131299</v>
      </c>
      <c r="AN16" s="70">
        <f t="shared" si="3"/>
        <v>197625451.75</v>
      </c>
      <c r="AO16" s="70">
        <f t="shared" si="3"/>
        <v>193209972.94999999</v>
      </c>
      <c r="AP16" s="70">
        <f t="shared" si="3"/>
        <v>186577482.75</v>
      </c>
      <c r="AQ16" s="70">
        <f t="shared" si="3"/>
        <v>178036991.41</v>
      </c>
      <c r="AR16" s="70">
        <f t="shared" si="3"/>
        <v>176812538</v>
      </c>
      <c r="AS16" s="70">
        <f t="shared" si="3"/>
        <v>266421587</v>
      </c>
      <c r="AT16" s="70">
        <f t="shared" si="3"/>
        <v>260363081</v>
      </c>
      <c r="AU16" s="70">
        <f t="shared" si="3"/>
        <v>310185319.11000001</v>
      </c>
      <c r="AV16" s="70">
        <f t="shared" si="3"/>
        <v>302764840.60000002</v>
      </c>
      <c r="AW16" s="70">
        <f t="shared" si="3"/>
        <v>252404768.45999998</v>
      </c>
      <c r="AX16" s="70">
        <f t="shared" si="3"/>
        <v>254648793.93000001</v>
      </c>
      <c r="AY16" s="70">
        <f t="shared" ref="AY16:BL16" si="4">SUM(AY8:AY15)</f>
        <v>248323638.56</v>
      </c>
      <c r="AZ16" s="70">
        <f t="shared" si="4"/>
        <v>241235268.25999999</v>
      </c>
      <c r="BA16" s="70">
        <f t="shared" si="4"/>
        <v>233923430.78</v>
      </c>
      <c r="BB16" s="70">
        <f t="shared" si="4"/>
        <v>226298285.03</v>
      </c>
      <c r="BC16" s="70">
        <f t="shared" si="4"/>
        <v>218889154.09999999</v>
      </c>
      <c r="BD16" s="70">
        <f t="shared" si="4"/>
        <v>211045187.88999999</v>
      </c>
      <c r="BE16" s="70">
        <f t="shared" si="4"/>
        <v>343747736.74000001</v>
      </c>
      <c r="BF16" s="70">
        <f t="shared" si="4"/>
        <v>293910336.88999999</v>
      </c>
      <c r="BG16" s="70">
        <f t="shared" si="4"/>
        <v>344120112.88999999</v>
      </c>
      <c r="BH16" s="70">
        <f t="shared" si="4"/>
        <v>336662089.74000001</v>
      </c>
      <c r="BI16" s="70">
        <f t="shared" si="4"/>
        <v>294239478.87</v>
      </c>
      <c r="BJ16" s="70">
        <f t="shared" si="4"/>
        <v>286390654</v>
      </c>
      <c r="BK16" s="70">
        <f t="shared" si="4"/>
        <v>280038451.24000001</v>
      </c>
      <c r="BL16" s="70">
        <f t="shared" si="4"/>
        <v>272803644.04000002</v>
      </c>
      <c r="BM16" s="70">
        <f t="shared" ref="BM16:CD16" si="5">SUM(BM8:BM15)</f>
        <v>267707399.42000002</v>
      </c>
      <c r="BN16" s="70">
        <f t="shared" si="5"/>
        <v>260663284.42000002</v>
      </c>
      <c r="BO16" s="70">
        <f t="shared" si="5"/>
        <v>252038916.19</v>
      </c>
      <c r="BP16" s="70">
        <f t="shared" si="5"/>
        <v>250340880.38000003</v>
      </c>
      <c r="BQ16" s="70">
        <f t="shared" si="5"/>
        <v>365761884.63</v>
      </c>
      <c r="BR16" s="70">
        <f t="shared" si="5"/>
        <v>316093783.72000003</v>
      </c>
      <c r="BS16" s="70">
        <f t="shared" si="5"/>
        <v>367540225.07000005</v>
      </c>
      <c r="BT16" s="70">
        <f t="shared" si="5"/>
        <v>358275081.17000002</v>
      </c>
      <c r="BU16" s="70">
        <f t="shared" si="5"/>
        <v>315786914.26999998</v>
      </c>
      <c r="BV16" s="70">
        <f t="shared" si="5"/>
        <v>309176131.48000002</v>
      </c>
      <c r="BW16" s="70">
        <f t="shared" si="5"/>
        <v>302518021.67000002</v>
      </c>
      <c r="BX16" s="70">
        <f t="shared" si="5"/>
        <v>295961385.20999998</v>
      </c>
      <c r="BY16" s="70">
        <f t="shared" si="5"/>
        <v>292696925</v>
      </c>
      <c r="BZ16" s="70">
        <f t="shared" si="5"/>
        <v>285788888.83999997</v>
      </c>
      <c r="CA16" s="70">
        <f t="shared" si="5"/>
        <v>278469101</v>
      </c>
      <c r="CB16" s="70">
        <f t="shared" si="5"/>
        <v>278007654.22000003</v>
      </c>
      <c r="CC16" s="70">
        <f t="shared" si="5"/>
        <v>404035497.62</v>
      </c>
      <c r="CD16" s="70">
        <f t="shared" si="5"/>
        <v>355141256.74000001</v>
      </c>
      <c r="CE16" s="70">
        <f t="shared" ref="CE16:CM16" si="6">SUM(CE8:CE15)</f>
        <v>407127418</v>
      </c>
      <c r="CF16" s="70">
        <f t="shared" si="6"/>
        <v>399239054</v>
      </c>
      <c r="CG16" s="70">
        <f t="shared" si="6"/>
        <v>357544192</v>
      </c>
      <c r="CH16" s="70">
        <f t="shared" si="6"/>
        <v>350968528</v>
      </c>
      <c r="CI16" s="70">
        <f t="shared" si="6"/>
        <v>344016651</v>
      </c>
      <c r="CJ16" s="70">
        <f t="shared" si="6"/>
        <v>336783301.49000001</v>
      </c>
      <c r="CK16" s="70">
        <f t="shared" si="6"/>
        <v>331755638.60000002</v>
      </c>
      <c r="CL16" s="70">
        <f t="shared" si="6"/>
        <v>324464311.60000002</v>
      </c>
      <c r="CM16" s="70">
        <f t="shared" si="6"/>
        <v>316564258.60000002</v>
      </c>
      <c r="CN16" s="70">
        <f t="shared" ref="CN16:EF16" si="7">SUM(CN8:CN15)</f>
        <v>314695241.73000002</v>
      </c>
      <c r="CO16" s="70">
        <f t="shared" si="7"/>
        <v>492717781.73000002</v>
      </c>
      <c r="CP16" s="70">
        <f t="shared" si="7"/>
        <v>432504317.58000004</v>
      </c>
      <c r="CQ16" s="70">
        <f t="shared" si="7"/>
        <v>482610095.58000004</v>
      </c>
      <c r="CR16" s="70">
        <f t="shared" si="7"/>
        <v>476238190</v>
      </c>
      <c r="CS16" s="70">
        <f t="shared" si="7"/>
        <v>413835783.61000001</v>
      </c>
      <c r="CT16" s="70">
        <f t="shared" si="7"/>
        <v>405649134.61000001</v>
      </c>
      <c r="CU16" s="70">
        <f t="shared" si="7"/>
        <v>398923388.61000001</v>
      </c>
      <c r="CV16" s="70">
        <f t="shared" si="7"/>
        <v>392025257.61000001</v>
      </c>
      <c r="CW16" s="70">
        <f t="shared" si="7"/>
        <v>388376400.61000001</v>
      </c>
      <c r="CX16" s="70">
        <f t="shared" si="7"/>
        <v>375310546.61000001</v>
      </c>
      <c r="CY16" s="70">
        <f t="shared" si="7"/>
        <v>366432563.61000001</v>
      </c>
      <c r="CZ16" s="70">
        <f t="shared" si="7"/>
        <v>364529668.75</v>
      </c>
      <c r="DA16" s="70">
        <f t="shared" si="7"/>
        <v>331778000</v>
      </c>
      <c r="DB16" s="70">
        <f t="shared" si="7"/>
        <v>518160431</v>
      </c>
      <c r="DC16" s="70">
        <f t="shared" si="7"/>
        <v>569847046</v>
      </c>
      <c r="DD16" s="70">
        <f t="shared" si="7"/>
        <v>562366985</v>
      </c>
      <c r="DE16" s="70">
        <f t="shared" si="7"/>
        <v>500319503.08999997</v>
      </c>
      <c r="DF16" s="70">
        <f t="shared" si="7"/>
        <v>492067223</v>
      </c>
      <c r="DG16" s="70">
        <f t="shared" si="7"/>
        <v>489846131</v>
      </c>
      <c r="DH16" s="70">
        <f t="shared" si="7"/>
        <v>482872677</v>
      </c>
      <c r="DI16" s="70">
        <f t="shared" si="7"/>
        <v>478243268</v>
      </c>
      <c r="DJ16" s="70">
        <f t="shared" si="7"/>
        <v>471013036</v>
      </c>
      <c r="DK16" s="70">
        <f t="shared" si="7"/>
        <v>462031220</v>
      </c>
      <c r="DL16" s="70">
        <f t="shared" si="7"/>
        <v>460753859</v>
      </c>
      <c r="DM16" s="70">
        <f t="shared" si="7"/>
        <v>415433325</v>
      </c>
      <c r="DN16" s="70">
        <f t="shared" si="7"/>
        <v>524365292</v>
      </c>
      <c r="DO16" s="70">
        <f t="shared" si="7"/>
        <v>575138083</v>
      </c>
      <c r="DP16" s="70">
        <f t="shared" si="7"/>
        <v>568409684</v>
      </c>
      <c r="DQ16" s="70">
        <f t="shared" si="7"/>
        <v>507484827</v>
      </c>
      <c r="DR16" s="70">
        <f t="shared" si="7"/>
        <v>498554407</v>
      </c>
      <c r="DS16" s="70">
        <f t="shared" si="7"/>
        <v>492466123</v>
      </c>
      <c r="DT16" s="70">
        <f t="shared" si="7"/>
        <v>492377137</v>
      </c>
      <c r="DU16" s="70">
        <f t="shared" si="7"/>
        <v>484871148.49000001</v>
      </c>
      <c r="DV16" s="70">
        <f t="shared" si="7"/>
        <v>476826514</v>
      </c>
      <c r="DW16" s="70">
        <f t="shared" si="7"/>
        <v>468103483</v>
      </c>
      <c r="DX16" s="70">
        <f t="shared" si="7"/>
        <v>467201869.06999993</v>
      </c>
      <c r="DY16" s="70">
        <f t="shared" si="7"/>
        <v>414880687.28999996</v>
      </c>
      <c r="DZ16" s="70">
        <f t="shared" si="7"/>
        <v>525388940.28999996</v>
      </c>
      <c r="EA16" s="70">
        <f t="shared" si="7"/>
        <v>572767222.51999998</v>
      </c>
      <c r="EB16" s="70">
        <f t="shared" si="7"/>
        <v>565232482.28999996</v>
      </c>
      <c r="EC16" s="70">
        <f t="shared" si="7"/>
        <v>507737230.92999995</v>
      </c>
      <c r="ED16" s="70">
        <f t="shared" si="7"/>
        <v>498368244.82999992</v>
      </c>
      <c r="EE16" s="70">
        <f t="shared" si="7"/>
        <v>490858299.16999996</v>
      </c>
      <c r="EF16" s="70">
        <f t="shared" si="7"/>
        <v>488988143.69</v>
      </c>
      <c r="EG16" s="67">
        <f t="shared" ref="EG16:EO16" si="8">SUM(EG8:EG14)</f>
        <v>483413942.24000001</v>
      </c>
      <c r="EH16" s="67">
        <f t="shared" si="8"/>
        <v>475463573.24000001</v>
      </c>
      <c r="EI16" s="67">
        <f t="shared" si="8"/>
        <v>467891281.19999999</v>
      </c>
      <c r="EJ16" s="17">
        <f t="shared" si="8"/>
        <v>466315046.56</v>
      </c>
      <c r="EK16" s="17">
        <f t="shared" si="8"/>
        <v>540613001.38</v>
      </c>
      <c r="EL16" s="17">
        <f t="shared" si="8"/>
        <v>533971620.38</v>
      </c>
      <c r="EM16" s="17">
        <f t="shared" si="8"/>
        <v>582251338.38</v>
      </c>
      <c r="EN16" s="17">
        <f t="shared" si="8"/>
        <v>574125726.38</v>
      </c>
      <c r="EO16" s="17">
        <f t="shared" si="8"/>
        <v>516573989.38</v>
      </c>
      <c r="EP16" s="17">
        <f t="shared" ref="EP16:EU16" si="9">SUM(EP8:EP14)</f>
        <v>508055243.38</v>
      </c>
      <c r="EQ16" s="17">
        <f t="shared" si="9"/>
        <v>497545974.38</v>
      </c>
      <c r="ER16" s="17">
        <f t="shared" si="9"/>
        <v>503329640.38</v>
      </c>
      <c r="ES16" s="17">
        <f t="shared" si="9"/>
        <v>498611628.38</v>
      </c>
      <c r="ET16" s="17">
        <f t="shared" si="9"/>
        <v>490929509.38</v>
      </c>
      <c r="EU16" s="17">
        <f t="shared" si="9"/>
        <v>482956313.38</v>
      </c>
      <c r="EW16" s="4">
        <f>SUM(EJ16:EU16)</f>
        <v>6195279031.7400007</v>
      </c>
    </row>
    <row r="17" spans="1:153" ht="15" customHeight="1" x14ac:dyDescent="0.25">
      <c r="A17" s="2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15"/>
      <c r="CI17" s="18"/>
      <c r="CJ17" s="18"/>
      <c r="CK17" s="18"/>
      <c r="CL17" s="18"/>
      <c r="CM17" s="18"/>
      <c r="CN17" s="18"/>
      <c r="CO17" s="18"/>
      <c r="CP17" s="18"/>
      <c r="CQ17" s="18"/>
      <c r="CR17" s="18"/>
      <c r="CS17" s="18"/>
      <c r="CT17" s="18"/>
      <c r="CU17" s="18"/>
      <c r="CV17" s="18"/>
      <c r="CW17" s="18"/>
      <c r="CX17" s="18"/>
      <c r="CY17" s="18"/>
      <c r="CZ17" s="86"/>
      <c r="DA17" s="86"/>
      <c r="DB17" s="86"/>
      <c r="DC17" s="18"/>
      <c r="DD17" s="115"/>
      <c r="DE17" s="18"/>
      <c r="DF17" s="18"/>
      <c r="DG17" s="115"/>
      <c r="DH17" s="18"/>
      <c r="DI17" s="86"/>
      <c r="DJ17" s="86"/>
      <c r="DK17" s="86"/>
      <c r="DL17" s="86"/>
      <c r="DM17" s="86"/>
      <c r="DN17" s="86"/>
      <c r="DO17" s="18"/>
      <c r="DP17" s="18"/>
      <c r="DQ17" s="18"/>
      <c r="DR17" s="86"/>
      <c r="DS17" s="18"/>
      <c r="DT17" s="18"/>
      <c r="DU17" s="86"/>
      <c r="DV17" s="86"/>
      <c r="DW17" s="86"/>
      <c r="DX17" s="18"/>
      <c r="DY17" s="18"/>
      <c r="DZ17" s="18"/>
      <c r="EA17" s="18"/>
      <c r="EB17" s="18"/>
      <c r="EC17" s="18"/>
      <c r="ED17" s="18"/>
      <c r="EE17" s="18" t="s">
        <v>23</v>
      </c>
      <c r="EF17" s="18"/>
      <c r="EG17" s="67"/>
      <c r="EH17" s="67"/>
      <c r="EI17" s="67"/>
      <c r="EJ17" s="17"/>
      <c r="EK17" s="17"/>
      <c r="EL17" s="17"/>
      <c r="EM17" s="17"/>
      <c r="EN17" s="17"/>
      <c r="EO17" s="17"/>
      <c r="EP17" s="17"/>
      <c r="EQ17" s="17"/>
      <c r="ER17" s="17"/>
      <c r="ES17" s="17"/>
      <c r="ET17" s="17"/>
      <c r="EU17" s="17"/>
    </row>
    <row r="18" spans="1:153" ht="21" customHeight="1" x14ac:dyDescent="0.4">
      <c r="A18" s="28"/>
      <c r="B18" s="19" t="s">
        <v>10</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61"/>
      <c r="BM18" s="19"/>
      <c r="BN18" s="19"/>
      <c r="BO18" s="19"/>
      <c r="BP18" s="19"/>
      <c r="BQ18" s="19"/>
      <c r="BR18" s="19"/>
      <c r="BS18" s="19"/>
      <c r="BT18" s="19"/>
      <c r="BU18" s="19"/>
      <c r="BV18" s="128"/>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28"/>
      <c r="CW18" s="19"/>
      <c r="CX18" s="19"/>
      <c r="CY18" s="19"/>
      <c r="CZ18" s="70"/>
      <c r="DA18" s="70"/>
      <c r="DB18" s="70"/>
      <c r="DC18" s="19"/>
      <c r="DD18" s="19"/>
      <c r="DE18" s="19"/>
      <c r="DF18" s="19"/>
      <c r="DG18" s="19"/>
      <c r="DH18" s="19"/>
      <c r="DI18" s="70"/>
      <c r="DJ18" s="70"/>
      <c r="DK18" s="70"/>
      <c r="DL18" s="70" t="s">
        <v>23</v>
      </c>
      <c r="DM18" s="70"/>
      <c r="DN18" s="70"/>
      <c r="DO18" s="19"/>
      <c r="DP18" s="19"/>
      <c r="DQ18" s="19"/>
      <c r="DR18" s="70"/>
      <c r="DS18" s="19"/>
      <c r="DT18" s="19"/>
      <c r="DU18" s="70"/>
      <c r="DV18" s="70"/>
      <c r="DW18" s="92"/>
      <c r="DX18" s="19"/>
      <c r="DY18" s="19"/>
      <c r="DZ18" s="19"/>
      <c r="EA18" s="19"/>
      <c r="EB18" s="74"/>
      <c r="EC18" s="19" t="s">
        <v>23</v>
      </c>
      <c r="ED18" s="19"/>
      <c r="EE18" s="19"/>
      <c r="EF18" s="19"/>
      <c r="EG18" s="37"/>
      <c r="EH18" s="37"/>
      <c r="EI18" s="37"/>
      <c r="EJ18" s="15"/>
      <c r="EK18" s="15"/>
      <c r="EL18" s="15"/>
      <c r="EM18" s="37"/>
      <c r="EN18" s="15"/>
      <c r="EO18" s="15"/>
      <c r="EP18" s="15"/>
      <c r="EQ18" s="15"/>
      <c r="ER18" s="15"/>
      <c r="ES18" s="15"/>
      <c r="ET18" s="15"/>
      <c r="EU18" s="15"/>
      <c r="EW18" s="33"/>
    </row>
    <row r="19" spans="1:153" ht="15.75" customHeight="1" x14ac:dyDescent="0.25">
      <c r="A19" s="28">
        <v>5</v>
      </c>
      <c r="B19" s="9" t="s">
        <v>1</v>
      </c>
      <c r="C19" s="97"/>
      <c r="D19" s="97">
        <v>0</v>
      </c>
      <c r="E19" s="97">
        <v>0</v>
      </c>
      <c r="F19" s="97">
        <f>'[73]Active Projects - Att B'!$FA$30</f>
        <v>7499999.9999999786</v>
      </c>
      <c r="G19" s="97">
        <v>0</v>
      </c>
      <c r="H19" s="97">
        <f>'[73]Active Projects - Att B'!$EY$30</f>
        <v>266126.93999997899</v>
      </c>
      <c r="I19" s="97">
        <f>'[73]Active Projects - Att B'!$EW$30</f>
        <v>10285077.939999979</v>
      </c>
      <c r="J19" s="97">
        <f>'[73]Active Projects - Att B'!$EW$30</f>
        <v>10285077.939999979</v>
      </c>
      <c r="K19" s="97">
        <f>'[73]Active Projects - Att B'!$EW$30</f>
        <v>10285077.939999979</v>
      </c>
      <c r="L19" s="61">
        <f>'[73]Active Projects - Att B'!$EV$30</f>
        <v>914291.93999997829</v>
      </c>
      <c r="M19" s="61">
        <f>'[74]Active Projects - Att B'!$EU$29</f>
        <v>1053122.9399999783</v>
      </c>
      <c r="N19" s="61">
        <f>'[74]Active Projects - Att B'!$EU$29</f>
        <v>1053122.9399999783</v>
      </c>
      <c r="O19" s="61">
        <f>'[75]Active Projects - Att B'!$EU$29</f>
        <v>1053122.9399999783</v>
      </c>
      <c r="P19" s="61">
        <f>'[76]Active Projects - Att B'!$ET$29</f>
        <v>1207108.4899999783</v>
      </c>
      <c r="Q19" s="61">
        <f>'[76]Active Projects - Att B'!$EQ$29</f>
        <v>1208268.0899999784</v>
      </c>
      <c r="R19" s="135">
        <f>'[76]Active Projects - Att B'!$EP$29</f>
        <v>1208268.0899999784</v>
      </c>
      <c r="S19" s="61">
        <f>'[76]Active Projects - Att B'!$EO$29</f>
        <v>1208268.0899999784</v>
      </c>
      <c r="T19" s="61">
        <f>'[77]Active Projects - Att B'!$EN$29</f>
        <v>1208268.0899999784</v>
      </c>
      <c r="U19" s="61">
        <f>'[77]Active Projects - Att B'!$EM$29</f>
        <v>1208268.0899999784</v>
      </c>
      <c r="V19" s="61">
        <f>'[77]Active Projects - Att B'!$EL$29</f>
        <v>6198610.1299999785</v>
      </c>
      <c r="W19" s="97">
        <f>'[77]Active Projects - Att B'!$EK$29</f>
        <v>13698610.129999978</v>
      </c>
      <c r="X19" s="97">
        <f>'[77]Active Projects - Att B'!$EJ$29</f>
        <v>8711437.1299999785</v>
      </c>
      <c r="Y19" s="97">
        <f>'[77]Active Projects - Att B'!$EI$29</f>
        <v>16211437.129999978</v>
      </c>
      <c r="Z19" s="61">
        <f>'[78]Active Projects - Att B'!$EH$26</f>
        <v>1211437.1299999785</v>
      </c>
      <c r="AA19" s="168">
        <f>'[78]Active Projects - Att B'!$EG$26</f>
        <v>1211437.1299999785</v>
      </c>
      <c r="AB19" s="61">
        <f>'[79]Active Projects - Att B'!$EF$26</f>
        <v>1231437.1299999785</v>
      </c>
      <c r="AC19" s="61">
        <f>'[79]Active Projects - Att B'!$ED$21</f>
        <v>1231437.1299999785</v>
      </c>
      <c r="AD19" s="61">
        <f>'[79]Active Projects - Att B'!$ED$21</f>
        <v>1231437.1299999785</v>
      </c>
      <c r="AE19" s="61">
        <f>'[79]Active Projects - Att B'!$EC$21</f>
        <v>1231437.1299999785</v>
      </c>
      <c r="AF19" s="61">
        <f>'[79]Active Projects - Att B'!$EB$26</f>
        <v>1231437.1299999785</v>
      </c>
      <c r="AG19" s="61">
        <f>'[79]Active Projects - Att B'!$EA$26</f>
        <v>1231437.1299999785</v>
      </c>
      <c r="AH19" s="61">
        <f>'[79]Active Projects - Att B'!$DZ$26</f>
        <v>1231437.1299999785</v>
      </c>
      <c r="AI19" s="184">
        <f>'[80]Active Projects - Att B'!$DY$26</f>
        <v>1231437.1299999785</v>
      </c>
      <c r="AJ19" s="134">
        <f>'[80]Active Projects - Att B'!$DX$26</f>
        <v>1231437.1299999785</v>
      </c>
      <c r="AK19" s="134">
        <f>'[80]Active Projects - Att B'!$DW$26</f>
        <v>1231437.1299999785</v>
      </c>
      <c r="AL19" s="61">
        <f>'[81]Active Projects - Att B'!$DV$26</f>
        <v>1231437.1299999785</v>
      </c>
      <c r="AM19" s="61">
        <f>'[81]Active Projects - Att B'!$DU$26</f>
        <v>1231437.1299999785</v>
      </c>
      <c r="AN19" s="61">
        <f>'[81]Active Projects - Att B'!$DT$26</f>
        <v>1231437.1299999785</v>
      </c>
      <c r="AO19" s="61">
        <f>'[82]Active Projects - Att B'!$DS$26</f>
        <v>1231437.1299999785</v>
      </c>
      <c r="AP19" s="61">
        <f>'[82]Active Projects - Att B'!$DR$26</f>
        <v>1299215.1299999785</v>
      </c>
      <c r="AQ19" s="61">
        <f>'[82]Active Projects - Att B'!$DQ$26</f>
        <v>1363115.1299999785</v>
      </c>
      <c r="AR19" s="61">
        <f>'[83]Active Projects - Att B'!$DP$26</f>
        <v>1363115.1299999785</v>
      </c>
      <c r="AS19" s="61">
        <f>'[83]Active Projects - Att B'!$DO$26</f>
        <v>1363115.1299999785</v>
      </c>
      <c r="AT19" s="61">
        <f>'[83]Active Projects - Att B'!$DN$26</f>
        <v>1363115.1299999785</v>
      </c>
      <c r="AU19" s="170">
        <f>'[83]Active Projects - Att B'!$DM$26</f>
        <v>1363115.1299999785</v>
      </c>
      <c r="AV19" s="170">
        <f>'[83]Active Projects - Att B'!$DL$26</f>
        <v>1363115.1299999785</v>
      </c>
      <c r="AW19" s="170">
        <f>'[83]Active Projects - Att B'!$DK$26</f>
        <v>1363115.1299999785</v>
      </c>
      <c r="AX19" s="168">
        <f>'[84]Active Projects - Att B'!$DJ$26</f>
        <v>2072265.6299999785</v>
      </c>
      <c r="AY19" s="168">
        <f>'[84]Active Projects - Att B'!$DI$26</f>
        <v>2072265.6299999785</v>
      </c>
      <c r="AZ19" s="168">
        <f>'[84]Active Projects - Att B'!$DH$26</f>
        <v>2072265.6299999785</v>
      </c>
      <c r="BA19" s="61">
        <f>'[85]Active Projects - Att B'!$DG$26</f>
        <v>2072265.6299999785</v>
      </c>
      <c r="BB19" s="61">
        <f>'[85]Active Projects - Att B'!$DF$26</f>
        <v>2072265.6299999785</v>
      </c>
      <c r="BC19" s="61">
        <f>'[85]Active Projects - Att B'!$DE$26</f>
        <v>2072265.6299999785</v>
      </c>
      <c r="BD19" s="61">
        <f>'[85]Active Projects - Att B'!$DD$26</f>
        <v>2072265.6299999785</v>
      </c>
      <c r="BE19" s="61">
        <f>'[85]Active Projects - Att B'!$DC$26</f>
        <v>2072265.6299999785</v>
      </c>
      <c r="BF19" s="61">
        <f>'[85]Active Projects - Att B'!$DB$26</f>
        <v>2072265.6299999785</v>
      </c>
      <c r="BG19" s="61">
        <f>'[86]Active Projects - Att B'!$DA$26</f>
        <v>2072265.6299999785</v>
      </c>
      <c r="BH19" s="61">
        <f>'[86]Active Projects - Att B'!$CZ$26</f>
        <v>2072265.6299999785</v>
      </c>
      <c r="BI19" s="61">
        <f>'[86]Active Projects - Att B'!$CY$26</f>
        <v>2072265.6299999785</v>
      </c>
      <c r="BJ19" s="151">
        <f>'[86]Active Projects - Att B'!$CX$26</f>
        <v>2072265.6299999785</v>
      </c>
      <c r="BK19" s="151">
        <f>'[86]Active Projects - Att B'!$CW$26</f>
        <v>2116722.8999999785</v>
      </c>
      <c r="BL19" s="151">
        <f>'[86]Active Projects - Att B'!$CV$26</f>
        <v>2116722.8999999785</v>
      </c>
      <c r="BM19" s="61">
        <f>'[87]Active Projects - Att B'!$CU$28</f>
        <v>2116722.8999999785</v>
      </c>
      <c r="BN19" s="61">
        <f>'[87]Active Projects - Att B'!$CT$28</f>
        <v>2116722.8999999785</v>
      </c>
      <c r="BO19" s="61">
        <f>'[87]Active Projects - Att B'!$CS$28</f>
        <v>2116722.8999999785</v>
      </c>
      <c r="BP19" s="61">
        <f>'[88]Active Projects - Att B'!$CR$28</f>
        <v>2116722.8999999785</v>
      </c>
      <c r="BQ19" s="61">
        <f>'[88]Active Projects - Att B'!$CQ$28</f>
        <v>2553672.8999999785</v>
      </c>
      <c r="BR19" s="61">
        <f>'[88]Active Projects - Att B'!$CP$28</f>
        <v>2553672.8999999785</v>
      </c>
      <c r="BS19" s="61">
        <f>'[89]Active Projects - Att B'!$CO$31</f>
        <v>2624204.5099999784</v>
      </c>
      <c r="BT19" s="61">
        <f>'[89]Active Projects - Att B'!$CN$31</f>
        <v>2624204.5099999784</v>
      </c>
      <c r="BU19" s="61">
        <f>'[89]Active Projects - Att B'!$CM$31</f>
        <v>2692675.6099999784</v>
      </c>
      <c r="BV19" s="144">
        <f>'[90]Active Projects - Att B'!$CL$31</f>
        <v>2692675.6099999784</v>
      </c>
      <c r="BW19" s="144">
        <f>'[90]Active Projects - Att B'!$CK$31</f>
        <v>2707557.8499999787</v>
      </c>
      <c r="BX19" s="144">
        <f>'[90]Active Projects - Att B'!$CJ$31</f>
        <v>2776356.1899999785</v>
      </c>
      <c r="BY19" s="106">
        <f>'[91]Active Projects - Att B'!$CI$31</f>
        <v>2922868.8699999787</v>
      </c>
      <c r="BZ19" s="106">
        <f>'[91]Active Projects - Att B'!$CH$31</f>
        <v>3307334.8199999784</v>
      </c>
      <c r="CA19" s="106">
        <f>'[91]Active Projects - Att B'!$CG$31</f>
        <v>3811252.0399999786</v>
      </c>
      <c r="CB19" s="134">
        <f>'[92]Active Projects - Att B'!$CF$34</f>
        <v>4257297.1199999787</v>
      </c>
      <c r="CC19" s="134">
        <f>'[92]Active Projects - Att B'!$CE$34</f>
        <v>4292702.2599999784</v>
      </c>
      <c r="CD19" s="61">
        <f>'[92]Active Projects - Att B'!$CD$34</f>
        <v>4292702.2599999784</v>
      </c>
      <c r="CE19" s="61">
        <f>'[93]Active Projects - Att B'!$G$28</f>
        <v>4292702.26</v>
      </c>
      <c r="CF19" s="61">
        <f>'[93]Active Projects - Att B'!$CB$35</f>
        <v>4334686.2099999785</v>
      </c>
      <c r="CG19" s="61">
        <f>'[93]Active Projects - Att B'!$CA$35</f>
        <v>4334686.2099999785</v>
      </c>
      <c r="CH19" s="134">
        <f>'[94]Active Projects - Att B'!$BZ$36</f>
        <v>4334686.2099999785</v>
      </c>
      <c r="CI19" s="134">
        <f>'[94]Active Projects - Att B'!$BY$36</f>
        <v>4334686.2099999785</v>
      </c>
      <c r="CJ19" s="134">
        <f>'[94]Active Projects - Att B'!$BX$36</f>
        <v>4334686.2099999785</v>
      </c>
      <c r="CK19" s="61">
        <f>'[94]Active Projects - Att B'!$BW$36</f>
        <v>4334686.2099999785</v>
      </c>
      <c r="CL19" s="61">
        <f>'[94]Active Projects - Att B'!$BV$36</f>
        <v>4334686.2099999785</v>
      </c>
      <c r="CM19" s="61">
        <f>'[94]Active Projects - Att B'!$BU$36</f>
        <v>4334686.2099999785</v>
      </c>
      <c r="CN19" s="61">
        <f>'[94]Active Projects - Att B'!$BT$36</f>
        <v>4334686.2099999785</v>
      </c>
      <c r="CO19" s="61">
        <f>'[94]Active Projects - Att B'!$BS$36</f>
        <v>4334686.2099999785</v>
      </c>
      <c r="CP19" s="61">
        <f>'[94]Active Projects - Att B'!$BR$36</f>
        <v>4334686.2099999785</v>
      </c>
      <c r="CQ19" s="129">
        <f>'[95]Active Projects - Att B'!$BQ$36</f>
        <v>4334686.2099999785</v>
      </c>
      <c r="CR19" s="129">
        <f>'[95]Active Projects - Att B'!$BP$36</f>
        <v>4607620.7099999785</v>
      </c>
      <c r="CS19" s="129">
        <f>'[95]Active Projects - Att B'!$BO$36</f>
        <v>4607620.7099999785</v>
      </c>
      <c r="CT19" s="129">
        <f>'[94]Active Projects - Att B'!$BN$40</f>
        <v>0</v>
      </c>
      <c r="CU19" s="129">
        <f>'[94]Active Projects - Att B'!$BM$40</f>
        <v>0</v>
      </c>
      <c r="CV19" s="129">
        <f>'[94]Active Projects - Att B'!$BL$40</f>
        <v>0</v>
      </c>
      <c r="CW19" s="61">
        <v>14790642.85</v>
      </c>
      <c r="CX19" s="61">
        <v>14790642.85</v>
      </c>
      <c r="CY19" s="61">
        <v>14848361.58</v>
      </c>
      <c r="CZ19" s="61">
        <v>22399120.609999999</v>
      </c>
      <c r="DA19" s="61">
        <v>23216707.199999999</v>
      </c>
      <c r="DB19" s="61">
        <v>23968258.289999999</v>
      </c>
      <c r="DC19" s="61">
        <v>25091934.640000001</v>
      </c>
      <c r="DD19" s="61">
        <v>25168195</v>
      </c>
      <c r="DE19" s="61">
        <v>32714870.129999999</v>
      </c>
      <c r="DF19" s="61">
        <v>41616998.469999999</v>
      </c>
      <c r="DG19" s="61">
        <v>45803672.549999997</v>
      </c>
      <c r="DH19" s="61">
        <v>38759759</v>
      </c>
      <c r="DI19" s="61">
        <v>39820034.390000001</v>
      </c>
      <c r="DJ19" s="61">
        <v>40438192.939999998</v>
      </c>
      <c r="DK19" s="61">
        <v>40438192.939999998</v>
      </c>
      <c r="DL19" s="61">
        <f>'[96]Active Projects - Att B'!$G$57</f>
        <v>57532159.43000003</v>
      </c>
      <c r="DM19" s="61">
        <f>'[96]Active Projects - Att B'!$AU$64</f>
        <v>64353746.539999984</v>
      </c>
      <c r="DN19" s="61">
        <f>'[96]Active Projects - Att B'!$AT$64</f>
        <v>66256386.509999983</v>
      </c>
      <c r="DO19" s="57">
        <f>'[97]Active Projects - Att B'!$AS$68</f>
        <v>66549648.919999987</v>
      </c>
      <c r="DP19" s="57">
        <f>'[98]Active Projects - Att B'!$AR$57</f>
        <v>67347636.349999979</v>
      </c>
      <c r="DQ19" s="57">
        <f>'[98]Active Projects - Att B'!$AQ$57</f>
        <v>67351201.279999986</v>
      </c>
      <c r="DR19" s="57">
        <f>'[98]Active Projects - Att B'!$AP$57</f>
        <v>24464179.629999988</v>
      </c>
      <c r="DS19" s="57">
        <f>'[98]Active Projects - Att B'!$AO$57</f>
        <v>24464179.629999988</v>
      </c>
      <c r="DT19" s="57">
        <f>'[98]Active Projects - Att B'!$AN$57</f>
        <v>39986170.93999999</v>
      </c>
      <c r="DU19" s="57">
        <f>'[99]Active Projects - Att B'!$AM$52</f>
        <v>23353667.639999989</v>
      </c>
      <c r="DV19" s="57">
        <f>'[99]Active Projects - Att B'!$AL$52</f>
        <v>23353667.639999989</v>
      </c>
      <c r="DW19" s="57">
        <f>'[99]Active Projects - Att B'!$AK$52</f>
        <v>24853667.639999989</v>
      </c>
      <c r="DX19" s="57">
        <f>'[100]Active Projects - Att B'!$G$37</f>
        <v>24853667.599999998</v>
      </c>
      <c r="DY19" s="57">
        <f>DZ19</f>
        <v>33913300.359999999</v>
      </c>
      <c r="DZ19" s="57">
        <f>EA19</f>
        <v>33913300.359999999</v>
      </c>
      <c r="EA19" s="57">
        <f>'[101]Active Projects - Att B'!$G$43+'[101]Active Projects - Att B'!$G$13</f>
        <v>33913300.359999999</v>
      </c>
      <c r="EB19" s="57">
        <f>EC19</f>
        <v>33919800.359999999</v>
      </c>
      <c r="EC19" s="57">
        <f>ED19</f>
        <v>33919800.359999999</v>
      </c>
      <c r="ED19" s="57">
        <f>+'[102]Active Projects - Att B'!$G$44+'[102]Active Projects - Att B'!$G$13</f>
        <v>33919800.359999999</v>
      </c>
      <c r="EE19" s="57">
        <f>+ED19</f>
        <v>33919800.359999999</v>
      </c>
      <c r="EF19" s="62">
        <f>'[102]Active Projects - Att B'!$AA$45</f>
        <v>0</v>
      </c>
      <c r="EG19" s="62">
        <f>'[94]Active Projects - Att B'!$Z$57</f>
        <v>0</v>
      </c>
      <c r="EH19" s="62">
        <f>'[94]Active Projects - Att B'!$Y$57</f>
        <v>0</v>
      </c>
      <c r="EI19" s="62">
        <f>'[94]Active Projects - Att B'!$X$57</f>
        <v>0</v>
      </c>
      <c r="EJ19" s="63">
        <f>'[103]Active Projects - Att B'!$X$36</f>
        <v>1648754.4599999967</v>
      </c>
      <c r="EK19" s="63">
        <f>'[103]Active Projects - Att B'!$W$36</f>
        <v>9482718.8199999966</v>
      </c>
      <c r="EL19" s="62">
        <f>'[103]Active Projects - Att B'!$V$36</f>
        <v>9482718.8199999966</v>
      </c>
      <c r="EM19" s="57">
        <f>'[104]Active Projects - Att B'!$G$31</f>
        <v>9482718.8199999984</v>
      </c>
      <c r="EN19" s="57">
        <f>'[104]Active Projects - Att B'!$T$38</f>
        <v>10028936.819999997</v>
      </c>
      <c r="EO19" s="14">
        <f>'[105]Active Projects'!$Q$72</f>
        <v>10028936.819999997</v>
      </c>
      <c r="EP19" s="14">
        <f>'[105]Active Projects'!$P$72</f>
        <v>10028936.819999997</v>
      </c>
      <c r="EQ19" s="14">
        <f>'[105]Active Projects'!$O$72</f>
        <v>10028936.819999997</v>
      </c>
      <c r="ER19" s="14">
        <f>'[105]Active Projects'!$N$72</f>
        <v>8428949.209999999</v>
      </c>
      <c r="ES19" s="14">
        <f>'[105]Active Projects'!$M$72</f>
        <v>8433492.209999999</v>
      </c>
      <c r="ET19" s="14">
        <f>'[105]Active Projects'!$L$72</f>
        <v>8540234.209999999</v>
      </c>
      <c r="EU19" s="14">
        <f>'[105]Active Projects'!$K$72</f>
        <v>8540234.209999999</v>
      </c>
    </row>
    <row r="20" spans="1:153" ht="11.25" customHeight="1" x14ac:dyDescent="0.25">
      <c r="A20" s="28"/>
      <c r="B20" s="9"/>
      <c r="C20" s="192"/>
      <c r="D20" s="192"/>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t="s">
        <v>23</v>
      </c>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61"/>
      <c r="DA20" s="61"/>
      <c r="DB20" s="61"/>
      <c r="DC20" s="9"/>
      <c r="DD20" s="9"/>
      <c r="DE20" s="9"/>
      <c r="DF20" s="9"/>
      <c r="DG20" s="9"/>
      <c r="DH20" s="9"/>
      <c r="DI20" s="61"/>
      <c r="DJ20" s="61"/>
      <c r="DK20" s="61"/>
      <c r="DL20" s="61"/>
      <c r="DM20" s="61"/>
      <c r="DN20" s="61"/>
      <c r="DO20" s="9"/>
      <c r="DP20" s="9"/>
      <c r="DQ20" s="9"/>
      <c r="DR20" s="61"/>
      <c r="DS20" s="9"/>
      <c r="DT20" s="9"/>
      <c r="DU20" s="61"/>
      <c r="DV20" s="61"/>
      <c r="DW20" s="61"/>
      <c r="DX20" s="9"/>
      <c r="DY20" s="9"/>
      <c r="DZ20" s="9"/>
      <c r="EA20" s="9"/>
      <c r="EB20" s="9"/>
      <c r="EC20" s="9"/>
      <c r="ED20" s="9"/>
      <c r="EE20" s="9"/>
      <c r="EF20" s="9"/>
      <c r="EG20" s="57"/>
      <c r="EH20" s="57"/>
      <c r="EI20" s="57"/>
      <c r="EJ20" s="14"/>
      <c r="EK20" s="14"/>
      <c r="EL20" s="14"/>
      <c r="EM20" s="14"/>
      <c r="EN20" s="14"/>
      <c r="EO20" s="14"/>
      <c r="EP20" s="14"/>
      <c r="EQ20" s="14"/>
      <c r="ER20" s="14"/>
      <c r="ES20" s="14"/>
      <c r="ET20" s="14"/>
      <c r="EU20" s="14"/>
    </row>
    <row r="21" spans="1:153" ht="18" customHeight="1" x14ac:dyDescent="0.25">
      <c r="A21" s="28">
        <v>6</v>
      </c>
      <c r="B21" s="9" t="s">
        <v>39</v>
      </c>
      <c r="C21" s="97">
        <f>D21</f>
        <v>62365167</v>
      </c>
      <c r="D21" s="97">
        <f>E21-328750-639375-949875-1105625-1027725</f>
        <v>62365167</v>
      </c>
      <c r="E21" s="61">
        <v>66416517</v>
      </c>
      <c r="F21" s="61">
        <v>0</v>
      </c>
      <c r="G21" s="61">
        <f>67406212-4208263.19</f>
        <v>63197948.810000002</v>
      </c>
      <c r="H21" s="61">
        <f>67406212-4208263.19</f>
        <v>63197948.810000002</v>
      </c>
      <c r="I21" s="61">
        <v>67406212</v>
      </c>
      <c r="J21" s="61">
        <v>0</v>
      </c>
      <c r="K21" s="61">
        <f>66887836-3058694</f>
        <v>63829142</v>
      </c>
      <c r="L21" s="61">
        <f>66887836-3058694</f>
        <v>63829142</v>
      </c>
      <c r="M21" s="61">
        <v>66887836</v>
      </c>
      <c r="N21" s="61">
        <v>0</v>
      </c>
      <c r="O21" s="61">
        <f>11618250+12127750+13248500+13808000+13753517-'[13]lit 2017'!$F$31</f>
        <v>60800679</v>
      </c>
      <c r="P21" s="61">
        <f>11618250+12127750+13248500+13808000+13753517-'[13]lit 2017'!$F$31</f>
        <v>60800679</v>
      </c>
      <c r="Q21" s="61">
        <f>11618250+12127750+13248500+13808000+13753517</f>
        <v>64556017</v>
      </c>
      <c r="R21" s="61">
        <f>11618250+12127750+13248500+13808000+13753517</f>
        <v>64556017</v>
      </c>
      <c r="S21" s="61">
        <f>11618250+12127750+13248500+13808000+13753517</f>
        <v>64556017</v>
      </c>
      <c r="T21" s="61">
        <v>0</v>
      </c>
      <c r="U21" s="61">
        <f>V21</f>
        <v>58439250.170000002</v>
      </c>
      <c r="V21" s="61">
        <f>W21+301429.17-615852</f>
        <v>58439250.170000002</v>
      </c>
      <c r="W21" s="61">
        <f>11670750+11620250+12131750+13243250+13808931-3721258</f>
        <v>58753673</v>
      </c>
      <c r="X21" s="61">
        <f>11670750+11620250+12131750+13243250+13808931-3721258</f>
        <v>58753673</v>
      </c>
      <c r="Y21" s="61">
        <f>11670750+11620250+12131750+13243250+13808931-3721258</f>
        <v>58753673</v>
      </c>
      <c r="Z21" s="61">
        <f>11670750+11620250+12131750+13243250+13808931-3721258</f>
        <v>58753673</v>
      </c>
      <c r="AA21" s="61">
        <f>11670750+11620250+12131750+13243250+13993403-3721258</f>
        <v>58938145</v>
      </c>
      <c r="AB21" s="61">
        <f>11670750+11620250+12131750+13243250+13993403-'[17]lit 2016'!$F$31</f>
        <v>58938145</v>
      </c>
      <c r="AC21" s="61">
        <f>11670750+11620250+12131750+13243250+13993403</f>
        <v>62659403</v>
      </c>
      <c r="AD21" s="61">
        <f>11670750+11620250+12131750+13243250+13993403</f>
        <v>62659403</v>
      </c>
      <c r="AE21" s="61">
        <f>11670750+11620250+12131750+13243250+13993403</f>
        <v>62659403</v>
      </c>
      <c r="AF21" s="61">
        <v>0</v>
      </c>
      <c r="AG21" s="61">
        <f>AH21</f>
        <v>0</v>
      </c>
      <c r="AH21" s="97">
        <f>AI21-11912250-11670000-11617000-12130750-13245121.53+3938594</f>
        <v>0</v>
      </c>
      <c r="AI21" s="61">
        <f>AK21</f>
        <v>56636527.530000001</v>
      </c>
      <c r="AJ21" s="61">
        <f>AK21</f>
        <v>56636527.530000001</v>
      </c>
      <c r="AK21" s="61">
        <f>11912250+11670000+11617000+12130750+13245121.53-3938594</f>
        <v>56636527.530000001</v>
      </c>
      <c r="AL21" s="61">
        <f>11912250+11670000+11617000+12130750+13538408-3938594</f>
        <v>56929814</v>
      </c>
      <c r="AM21" s="61">
        <f>11912250+11670000+11617000+12130750+13538408-3938594</f>
        <v>56929814</v>
      </c>
      <c r="AN21" s="61">
        <f>11912250+11670000+11617000+12130750+13538408-3938594</f>
        <v>56929814</v>
      </c>
      <c r="AO21" s="61">
        <f>SUM(11912250+11670000+11617000+12130750+13538408)</f>
        <v>60868408</v>
      </c>
      <c r="AP21" s="61">
        <f>SUM(11912250+11670000+11617000+12130750+13538408)</f>
        <v>60868408</v>
      </c>
      <c r="AQ21" s="61">
        <f>SUM(11912250+11670000+11617000+12130750+13538408)</f>
        <v>60868408</v>
      </c>
      <c r="AR21" s="61">
        <v>0</v>
      </c>
      <c r="AS21" s="61">
        <v>0</v>
      </c>
      <c r="AT21" s="61">
        <f>AU21-'[24]lit 2014'!$L$30</f>
        <v>3153147</v>
      </c>
      <c r="AU21" s="61">
        <f>SUM(AV21-(60224925-60098869))</f>
        <v>60098869</v>
      </c>
      <c r="AV21" s="61">
        <f>BA21</f>
        <v>60224925</v>
      </c>
      <c r="AW21" s="61">
        <f>BB21</f>
        <v>60224925</v>
      </c>
      <c r="AX21" s="61">
        <f>BC21</f>
        <v>60224925</v>
      </c>
      <c r="AY21" s="61">
        <f>BC21</f>
        <v>60224925</v>
      </c>
      <c r="AZ21" s="61">
        <f>BC21</f>
        <v>60224925</v>
      </c>
      <c r="BA21" s="61">
        <f>BC21</f>
        <v>60224925</v>
      </c>
      <c r="BB21" s="61">
        <f>BC21</f>
        <v>60224925</v>
      </c>
      <c r="BC21" s="61">
        <f>12154000+11907250+11669000+11982000+12512675</f>
        <v>60224925</v>
      </c>
      <c r="BD21" s="61">
        <v>0</v>
      </c>
      <c r="BE21" s="61">
        <v>0</v>
      </c>
      <c r="BF21" s="61">
        <f>BG21-'[28]lit 2013'!$L$30</f>
        <v>0</v>
      </c>
      <c r="BG21" s="61">
        <f>BI21</f>
        <v>57414200</v>
      </c>
      <c r="BH21" s="61">
        <f>BI21</f>
        <v>57414200</v>
      </c>
      <c r="BI21" s="61">
        <f>SUM(BJ21-(60816650-60698480))</f>
        <v>57414200</v>
      </c>
      <c r="BJ21" s="61">
        <f>BL21</f>
        <v>57532370</v>
      </c>
      <c r="BK21" s="61">
        <f>BL21</f>
        <v>57532370</v>
      </c>
      <c r="BL21" s="61">
        <f>SUM(BM21)-'[30]lit 2012'!$F$30</f>
        <v>57532370</v>
      </c>
      <c r="BM21" s="61">
        <f>BO21</f>
        <v>60816650</v>
      </c>
      <c r="BN21" s="61">
        <f>BO21</f>
        <v>60816650</v>
      </c>
      <c r="BO21" s="61">
        <f>12610500+12156000+11911750+11666600+12471800</f>
        <v>60816650</v>
      </c>
      <c r="BP21" s="61">
        <f>BQ21-'[32]lit 2012'!$L$30</f>
        <v>1.000000536441803E-2</v>
      </c>
      <c r="BQ21" s="61">
        <f>BS21</f>
        <v>59293250.010000005</v>
      </c>
      <c r="BR21" s="61">
        <f>BS21</f>
        <v>59293250.010000005</v>
      </c>
      <c r="BS21" s="61">
        <f>'[106]note ds summary'!$U$19-3401597.91</f>
        <v>59293250.010000005</v>
      </c>
      <c r="BT21" s="61">
        <f>BW21</f>
        <v>59406080.090000004</v>
      </c>
      <c r="BU21" s="61">
        <f>BW21</f>
        <v>59406080.090000004</v>
      </c>
      <c r="BV21" s="61">
        <f>BW21</f>
        <v>59406080.090000004</v>
      </c>
      <c r="BW21" s="61">
        <f>BX21</f>
        <v>59406080.090000004</v>
      </c>
      <c r="BX21" s="106">
        <f>SUM(BY21-'[34]lit 2012'!$F$36)</f>
        <v>59406080.090000004</v>
      </c>
      <c r="BY21" s="97">
        <f>CA21</f>
        <v>62807678</v>
      </c>
      <c r="BZ21" s="97">
        <f>CA21</f>
        <v>62807678</v>
      </c>
      <c r="CA21" s="97">
        <f>12978000+12607250+12151000+13051000+12020428</f>
        <v>62807678</v>
      </c>
      <c r="CB21" s="134">
        <v>0</v>
      </c>
      <c r="CC21" s="141">
        <v>0</v>
      </c>
      <c r="CD21" s="61">
        <f>CE21-'[36]lit 2011'!$L$30</f>
        <v>-9.6857547760009766E-8</v>
      </c>
      <c r="CE21" s="61">
        <f>CH21</f>
        <v>59803399.999999903</v>
      </c>
      <c r="CF21" s="61">
        <f>CH21</f>
        <v>59803399.999999903</v>
      </c>
      <c r="CG21" s="61">
        <f>CH21</f>
        <v>59803399.999999903</v>
      </c>
      <c r="CH21" s="61">
        <f>SUM(CI21-'[38]lit 2011'!$F$30)</f>
        <v>59803399.999999903</v>
      </c>
      <c r="CI21" s="61">
        <f>CM21</f>
        <v>63510236.109999903</v>
      </c>
      <c r="CJ21" s="61">
        <f>CM21</f>
        <v>63510236.109999903</v>
      </c>
      <c r="CK21" s="97">
        <f>CM21</f>
        <v>63510236.109999903</v>
      </c>
      <c r="CL21" s="97">
        <f>CM21</f>
        <v>63510236.109999903</v>
      </c>
      <c r="CM21" s="97">
        <f>SUM('[107]Gov''s Intro. Budg. - Dec. 2010'!$I$24:$I$28)*-1</f>
        <v>63510236.109999903</v>
      </c>
      <c r="CN21" s="97">
        <v>0</v>
      </c>
      <c r="CO21" s="97">
        <v>0</v>
      </c>
      <c r="CP21" s="97">
        <f>SUM(CQ21-'[40]lit 2010'!$L$30)</f>
        <v>2856100</v>
      </c>
      <c r="CQ21" s="61">
        <f>CR21-SUM(CW21-65297635)</f>
        <v>64381550</v>
      </c>
      <c r="CR21" s="61">
        <f>CT21</f>
        <v>64488034</v>
      </c>
      <c r="CS21" s="61">
        <f>CT21</f>
        <v>64488034</v>
      </c>
      <c r="CT21" s="61">
        <f>$CW$21-'[42]lit 2010'!$F$30</f>
        <v>64488034</v>
      </c>
      <c r="CU21" s="61">
        <f>$CW$21</f>
        <v>65404119</v>
      </c>
      <c r="CV21" s="61">
        <f>$CW$21</f>
        <v>65404119</v>
      </c>
      <c r="CW21" s="106">
        <f>12636750+12822250+12977250+13482000+13485869</f>
        <v>65404119</v>
      </c>
      <c r="CX21" s="106">
        <f>12636750+12822250+12977250+13482000+13485869</f>
        <v>65404119</v>
      </c>
      <c r="CY21" s="106">
        <f>12636750+12822250+12977250+13482000+13485869</f>
        <v>65404119</v>
      </c>
      <c r="CZ21" s="61">
        <v>0</v>
      </c>
      <c r="DA21" s="61">
        <v>0</v>
      </c>
      <c r="DB21" s="61">
        <f>$DC$21-[47]lit2009!$L$29</f>
        <v>0</v>
      </c>
      <c r="DC21" s="61">
        <f>DF21</f>
        <v>60536725</v>
      </c>
      <c r="DD21" s="61">
        <f>DF21</f>
        <v>60536725</v>
      </c>
      <c r="DE21" s="61">
        <f>DF21</f>
        <v>60536725</v>
      </c>
      <c r="DF21" s="61">
        <f>$DG$21-SUM($DI$21-64469470)</f>
        <v>60536725</v>
      </c>
      <c r="DG21" s="61">
        <f>DH21</f>
        <v>60649593</v>
      </c>
      <c r="DH21" s="61">
        <f>64582338-[49]lit2009!$F$29</f>
        <v>60649593</v>
      </c>
      <c r="DI21" s="61">
        <f>12656800+12634750+12821000+12986500+13483288</f>
        <v>64582338</v>
      </c>
      <c r="DJ21" s="61">
        <v>60184000</v>
      </c>
      <c r="DK21" s="61">
        <v>60184000</v>
      </c>
      <c r="DL21" s="61">
        <v>0</v>
      </c>
      <c r="DM21" s="61">
        <v>0</v>
      </c>
      <c r="DN21" s="61">
        <f>60001254-[52]lit2008!$L$30</f>
        <v>146979</v>
      </c>
      <c r="DO21" s="61">
        <f>DT21</f>
        <v>60001254</v>
      </c>
      <c r="DP21" s="61">
        <f>DT21</f>
        <v>60001254</v>
      </c>
      <c r="DQ21" s="106">
        <f>DT21</f>
        <v>60001254</v>
      </c>
      <c r="DR21" s="97">
        <f>DT21</f>
        <v>60001254</v>
      </c>
      <c r="DS21" s="97">
        <f>DT21</f>
        <v>60001254</v>
      </c>
      <c r="DT21" s="97">
        <f>63784682-[56]lit2008!$F$30</f>
        <v>60001254</v>
      </c>
      <c r="DU21" s="97">
        <v>63784682</v>
      </c>
      <c r="DV21" s="97">
        <v>63784682</v>
      </c>
      <c r="DW21" s="97">
        <v>63784682</v>
      </c>
      <c r="DX21" s="57">
        <v>0</v>
      </c>
      <c r="DY21" s="57">
        <v>0</v>
      </c>
      <c r="DZ21" s="57">
        <f>EA21</f>
        <v>58845825.444444448</v>
      </c>
      <c r="EA21" s="57">
        <f>EC21-[62]lit2007!$F$30</f>
        <v>58845825.444444448</v>
      </c>
      <c r="EB21" s="57">
        <f>ED21</f>
        <v>62614094.444444448</v>
      </c>
      <c r="EC21" s="57">
        <f>EE21</f>
        <v>62614094.444444448</v>
      </c>
      <c r="ED21" s="57">
        <f>EF21</f>
        <v>62614094.444444448</v>
      </c>
      <c r="EE21" s="57">
        <f>EI21</f>
        <v>62614094.444444448</v>
      </c>
      <c r="EF21" s="57">
        <f>EI21</f>
        <v>62614094.444444448</v>
      </c>
      <c r="EG21" s="57">
        <f>EI21</f>
        <v>62614094.444444448</v>
      </c>
      <c r="EH21" s="57">
        <f>EI21</f>
        <v>62614094.444444448</v>
      </c>
      <c r="EI21" s="57">
        <f>'[108]BASE COMPARISON'!$D$72</f>
        <v>62614094.444444448</v>
      </c>
      <c r="EJ21" s="57">
        <v>0</v>
      </c>
      <c r="EK21" s="57">
        <v>0</v>
      </c>
      <c r="EL21" s="57">
        <f>EU21-[66]lit2006!$F$30-[66]lit2006!$L$30</f>
        <v>457667</v>
      </c>
      <c r="EM21" s="14">
        <f>$EU$21-[72]lit2006!$F$30</f>
        <v>58617335</v>
      </c>
      <c r="EN21" s="14">
        <f>$EU$21-[72]lit2006!$F$30</f>
        <v>58617335</v>
      </c>
      <c r="EO21" s="14">
        <f>$EU$21-[69]lit2006!$F$30</f>
        <v>58617335</v>
      </c>
      <c r="EP21" s="14">
        <f>$EU$21-[69]lit2006!$F$30</f>
        <v>58617335</v>
      </c>
      <c r="EQ21" s="14">
        <f>$EU$21-[69]lit2006!$F$30</f>
        <v>58617335</v>
      </c>
      <c r="ER21" s="14">
        <f>$EU$21-[70]lit2006!$F$30</f>
        <v>58617335</v>
      </c>
      <c r="ES21" s="14">
        <f>$EU$21</f>
        <v>62207650</v>
      </c>
      <c r="ET21" s="14">
        <f>$EU$21</f>
        <v>62207650</v>
      </c>
      <c r="EU21" s="14">
        <f>62207650</f>
        <v>62207650</v>
      </c>
      <c r="EV21" s="2" t="s">
        <v>17</v>
      </c>
    </row>
    <row r="22" spans="1:153" ht="11.25" customHeight="1" x14ac:dyDescent="0.25">
      <c r="A22" s="28"/>
      <c r="B22" s="8" t="s">
        <v>23</v>
      </c>
      <c r="C22" s="158"/>
      <c r="D22" s="158"/>
      <c r="E22" s="8"/>
      <c r="F22" s="8"/>
      <c r="G22" s="8"/>
      <c r="H22" s="8"/>
      <c r="I22" s="8"/>
      <c r="J22" s="8"/>
      <c r="K22" s="8"/>
      <c r="L22" s="8"/>
      <c r="M22" s="8"/>
      <c r="N22" s="8"/>
      <c r="O22" s="8"/>
      <c r="P22" s="8"/>
      <c r="Q22" s="8" t="s">
        <v>23</v>
      </c>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5" t="s">
        <v>23</v>
      </c>
      <c r="DA22" s="85"/>
      <c r="DB22" s="85"/>
      <c r="DC22" s="8"/>
      <c r="DD22" s="8"/>
      <c r="DE22" s="8"/>
      <c r="DF22" s="8"/>
      <c r="DG22" s="8"/>
      <c r="DH22" s="8"/>
      <c r="DI22" s="85"/>
      <c r="DJ22" s="85"/>
      <c r="DK22" s="85"/>
      <c r="DL22" s="85"/>
      <c r="DM22" s="85"/>
      <c r="DN22" s="85"/>
      <c r="DO22" s="8"/>
      <c r="DP22" s="8"/>
      <c r="DQ22" s="8"/>
      <c r="DR22" s="85"/>
      <c r="DS22" s="8"/>
      <c r="DT22" s="8"/>
      <c r="DU22" s="85"/>
      <c r="DV22" s="85"/>
      <c r="DW22" s="85"/>
      <c r="DX22" s="8"/>
      <c r="DY22" s="8"/>
      <c r="DZ22" s="8"/>
      <c r="EA22" s="8"/>
      <c r="EB22" s="8"/>
      <c r="EC22" s="8"/>
      <c r="ED22" s="8"/>
      <c r="EE22" s="8"/>
      <c r="EF22" s="8"/>
      <c r="EG22" s="37"/>
      <c r="EH22" s="37"/>
      <c r="EI22" s="37"/>
      <c r="EJ22" s="15"/>
      <c r="EK22" s="15"/>
      <c r="EL22" s="15"/>
      <c r="EM22" s="15"/>
      <c r="EN22" s="15"/>
      <c r="EO22" s="15"/>
      <c r="EP22" s="15"/>
      <c r="EQ22" s="15"/>
      <c r="ER22" s="15"/>
      <c r="ES22" s="15"/>
      <c r="ET22" s="15"/>
      <c r="EU22" s="15"/>
    </row>
    <row r="23" spans="1:153" ht="18" customHeight="1" x14ac:dyDescent="0.25">
      <c r="A23" s="28">
        <v>7</v>
      </c>
      <c r="B23" s="209" t="s">
        <v>46</v>
      </c>
      <c r="C23" s="97">
        <f>'[1]lit 2020'!$K$33</f>
        <v>0</v>
      </c>
      <c r="D23" s="97">
        <f>'[2]lit 2020'!$H$33</f>
        <v>0</v>
      </c>
      <c r="E23" s="61">
        <f>'[2]lit 2020'!$E$33</f>
        <v>7500000</v>
      </c>
      <c r="F23" s="61">
        <f>'[3]lit 2019'!$N$33</f>
        <v>0</v>
      </c>
      <c r="G23" s="61">
        <f>'[4]lit 2019'!$K$33</f>
        <v>0</v>
      </c>
      <c r="H23" s="61">
        <f>'[5]lit 2019'!$H$33</f>
        <v>6765603</v>
      </c>
      <c r="I23" s="61">
        <f>'[6]lit 2018'!$E$33</f>
        <v>0</v>
      </c>
      <c r="J23" s="61">
        <f>'[7]lit 2018'!$N$33</f>
        <v>0</v>
      </c>
      <c r="K23" s="61">
        <f>'[8]lit 2018'!$K$33</f>
        <v>0</v>
      </c>
      <c r="L23" s="61">
        <f>'[9]lit 2018'!$H$33</f>
        <v>0</v>
      </c>
      <c r="M23" s="61">
        <f>'[10]lit 2018'!$E$33</f>
        <v>0</v>
      </c>
      <c r="N23" s="61">
        <f>'[109]lit 2017'!$N$33</f>
        <v>0</v>
      </c>
      <c r="O23" s="165">
        <f>SUM('[12]lit 2017'!$I$33:$K$33)</f>
        <v>0</v>
      </c>
      <c r="P23" s="235">
        <f>'[110]Source Data'!$D$23</f>
        <v>0</v>
      </c>
      <c r="Q23" s="165">
        <f>'[14]lit 2017'!$E$33</f>
        <v>0</v>
      </c>
      <c r="R23" s="165">
        <f>'[14]lit 2017'!$D$33</f>
        <v>0</v>
      </c>
      <c r="S23" s="165">
        <f>'[14]lit 2017'!$C$33</f>
        <v>0</v>
      </c>
      <c r="T23" s="165">
        <f>'[15]lit 2016'!$N$33</f>
        <v>0</v>
      </c>
      <c r="U23" s="217">
        <f>'[15]lit 2016'!$M$33</f>
        <v>4987173</v>
      </c>
      <c r="V23" s="217">
        <f>'[15]lit 2016'!$L$33</f>
        <v>7500000</v>
      </c>
      <c r="W23" s="85">
        <v>0</v>
      </c>
      <c r="X23" s="188">
        <f>'[16]lit 2016'!$J$33</f>
        <v>11645000</v>
      </c>
      <c r="Y23" s="85">
        <v>0</v>
      </c>
      <c r="Z23" s="85">
        <v>0</v>
      </c>
      <c r="AA23" s="188">
        <f>'[16]lit 2016'!$G$33</f>
        <v>7500000</v>
      </c>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5"/>
      <c r="DA23" s="85"/>
      <c r="DB23" s="85"/>
      <c r="DC23" s="8"/>
      <c r="DD23" s="8"/>
      <c r="DE23" s="8"/>
      <c r="DF23" s="8"/>
      <c r="DG23" s="8"/>
      <c r="DH23" s="8"/>
      <c r="DI23" s="85"/>
      <c r="DJ23" s="85"/>
      <c r="DK23" s="85"/>
      <c r="DL23" s="85"/>
      <c r="DM23" s="85"/>
      <c r="DN23" s="85"/>
      <c r="DO23" s="8"/>
      <c r="DP23" s="8"/>
      <c r="DQ23" s="8"/>
      <c r="DR23" s="85"/>
      <c r="DS23" s="8"/>
      <c r="DT23" s="8"/>
      <c r="DU23" s="85"/>
      <c r="DV23" s="85"/>
      <c r="DW23" s="85"/>
      <c r="DX23" s="8"/>
      <c r="DY23" s="8"/>
      <c r="DZ23" s="8"/>
      <c r="EA23" s="8"/>
      <c r="EB23" s="8"/>
      <c r="EC23" s="8"/>
      <c r="ED23" s="8"/>
      <c r="EE23" s="8"/>
      <c r="EF23" s="8"/>
      <c r="EG23" s="37"/>
      <c r="EH23" s="37"/>
      <c r="EI23" s="37"/>
      <c r="EJ23" s="15"/>
      <c r="EK23" s="15"/>
      <c r="EL23" s="15"/>
      <c r="EM23" s="15"/>
      <c r="EN23" s="15"/>
      <c r="EO23" s="15"/>
      <c r="EP23" s="15"/>
      <c r="EQ23" s="15"/>
      <c r="ER23" s="15"/>
      <c r="ES23" s="15"/>
      <c r="ET23" s="15"/>
      <c r="EU23" s="15"/>
    </row>
    <row r="24" spans="1:153" ht="11.25" customHeight="1" x14ac:dyDescent="0.25">
      <c r="A24" s="28"/>
      <c r="B24" s="8"/>
      <c r="C24" s="158"/>
      <c r="D24" s="15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5"/>
      <c r="DA24" s="85"/>
      <c r="DB24" s="85"/>
      <c r="DC24" s="8"/>
      <c r="DD24" s="8"/>
      <c r="DE24" s="8"/>
      <c r="DF24" s="8"/>
      <c r="DG24" s="8"/>
      <c r="DH24" s="8"/>
      <c r="DI24" s="85"/>
      <c r="DJ24" s="85"/>
      <c r="DK24" s="85"/>
      <c r="DL24" s="85"/>
      <c r="DM24" s="85"/>
      <c r="DN24" s="85"/>
      <c r="DO24" s="8"/>
      <c r="DP24" s="8"/>
      <c r="DQ24" s="8"/>
      <c r="DR24" s="85"/>
      <c r="DS24" s="8"/>
      <c r="DT24" s="8"/>
      <c r="DU24" s="85"/>
      <c r="DV24" s="85"/>
      <c r="DW24" s="85"/>
      <c r="DX24" s="8"/>
      <c r="DY24" s="8"/>
      <c r="DZ24" s="8"/>
      <c r="EA24" s="8"/>
      <c r="EB24" s="8"/>
      <c r="EC24" s="8"/>
      <c r="ED24" s="8"/>
      <c r="EE24" s="8"/>
      <c r="EF24" s="8"/>
      <c r="EG24" s="37"/>
      <c r="EH24" s="37"/>
      <c r="EI24" s="37"/>
      <c r="EJ24" s="15"/>
      <c r="EK24" s="15"/>
      <c r="EL24" s="15"/>
      <c r="EM24" s="15"/>
      <c r="EN24" s="15"/>
      <c r="EO24" s="15"/>
      <c r="EP24" s="15"/>
      <c r="EQ24" s="15"/>
      <c r="ER24" s="15"/>
      <c r="ES24" s="15"/>
      <c r="ET24" s="15"/>
      <c r="EU24" s="15"/>
    </row>
    <row r="25" spans="1:153" ht="15.75" x14ac:dyDescent="0.25">
      <c r="A25" s="28">
        <v>8</v>
      </c>
      <c r="B25" s="71" t="s">
        <v>32</v>
      </c>
      <c r="C25" s="266">
        <f>'[1]lit 2020'!$K$30</f>
        <v>0</v>
      </c>
      <c r="D25" s="266">
        <f>'[2]lit 2020'!$H$30</f>
        <v>0</v>
      </c>
      <c r="E25" s="236">
        <f>'[2]lit 2020'!$E$30</f>
        <v>0</v>
      </c>
      <c r="F25" s="236">
        <f>'[3]lit 2019'!$N$30</f>
        <v>0</v>
      </c>
      <c r="G25" s="236">
        <f>'[4]lit 2019'!$K$30</f>
        <v>0</v>
      </c>
      <c r="H25" s="236">
        <f>'[5]lit 2019'!$H$30</f>
        <v>0</v>
      </c>
      <c r="I25" s="236">
        <f>'[6]lit 2018'!$E$30</f>
        <v>0</v>
      </c>
      <c r="J25" s="236">
        <f>'[7]lit 2018'!$N$30</f>
        <v>0</v>
      </c>
      <c r="K25" s="236">
        <f>'[8]lit 2018'!$K$30</f>
        <v>0</v>
      </c>
      <c r="L25" s="236">
        <f>'[9]lit 2018'!$H$30</f>
        <v>0</v>
      </c>
      <c r="M25" s="236">
        <f>'[10]lit 2018'!$E$30</f>
        <v>0</v>
      </c>
      <c r="N25" s="236">
        <v>0</v>
      </c>
      <c r="O25" s="236">
        <v>0</v>
      </c>
      <c r="P25" s="134">
        <v>0</v>
      </c>
      <c r="Q25" s="61">
        <f>'[14]lit 2017'!$E$30</f>
        <v>0</v>
      </c>
      <c r="R25" s="61">
        <f>'[14]lit 2017'!$D$30</f>
        <v>0</v>
      </c>
      <c r="S25" s="61">
        <f>'[14]lit 2017'!$C$30</f>
        <v>0</v>
      </c>
      <c r="T25" s="61">
        <v>0</v>
      </c>
      <c r="U25" s="61">
        <f>'[111]lit 2016'!$M$30</f>
        <v>3169</v>
      </c>
      <c r="V25" s="61">
        <v>0</v>
      </c>
      <c r="W25" s="61">
        <v>0</v>
      </c>
      <c r="X25" s="61">
        <v>0</v>
      </c>
      <c r="Y25" s="61">
        <v>0</v>
      </c>
      <c r="Z25" s="61">
        <v>0</v>
      </c>
      <c r="AA25" s="61">
        <v>0</v>
      </c>
      <c r="AB25" s="97">
        <f>'[16]lit 2016'!$F$30</f>
        <v>20000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c r="AV25" s="61">
        <v>0</v>
      </c>
      <c r="AW25" s="61">
        <v>0</v>
      </c>
      <c r="AX25" s="61">
        <v>0</v>
      </c>
      <c r="AY25" s="61">
        <v>0</v>
      </c>
      <c r="AZ25" s="61">
        <v>0</v>
      </c>
      <c r="BA25" s="61">
        <v>0</v>
      </c>
      <c r="BB25" s="61">
        <v>0</v>
      </c>
      <c r="BC25" s="61">
        <v>0</v>
      </c>
      <c r="BD25" s="61">
        <v>0</v>
      </c>
      <c r="BE25" s="61">
        <v>0</v>
      </c>
      <c r="BF25" s="61">
        <v>0</v>
      </c>
      <c r="BG25" s="61">
        <v>0</v>
      </c>
      <c r="BH25" s="61">
        <v>0</v>
      </c>
      <c r="BI25" s="61">
        <v>0</v>
      </c>
      <c r="BJ25" s="61">
        <v>0</v>
      </c>
      <c r="BK25" s="61">
        <v>0</v>
      </c>
      <c r="BL25" s="61">
        <v>0</v>
      </c>
      <c r="BM25" s="61">
        <v>0</v>
      </c>
      <c r="BN25" s="61">
        <v>0</v>
      </c>
      <c r="BO25" s="61">
        <v>0</v>
      </c>
      <c r="BP25" s="61">
        <v>0</v>
      </c>
      <c r="BQ25" s="61">
        <v>0</v>
      </c>
      <c r="BR25" s="61">
        <v>0</v>
      </c>
      <c r="BS25" s="61">
        <v>0</v>
      </c>
      <c r="BT25" s="61">
        <v>0</v>
      </c>
      <c r="BU25" s="61">
        <v>0</v>
      </c>
      <c r="BV25" s="61">
        <v>0</v>
      </c>
      <c r="BW25" s="61">
        <v>0</v>
      </c>
      <c r="BX25" s="61">
        <v>0</v>
      </c>
      <c r="BY25" s="61">
        <v>0</v>
      </c>
      <c r="BZ25" s="61">
        <v>0</v>
      </c>
      <c r="CA25" s="61">
        <v>0</v>
      </c>
      <c r="CB25" s="61">
        <v>0</v>
      </c>
      <c r="CC25" s="61">
        <v>0</v>
      </c>
      <c r="CD25" s="61">
        <v>0</v>
      </c>
      <c r="CE25" s="61">
        <v>0</v>
      </c>
      <c r="CF25" s="61">
        <v>0</v>
      </c>
      <c r="CG25" s="61">
        <v>0</v>
      </c>
      <c r="CH25" s="61">
        <v>0</v>
      </c>
      <c r="CI25" s="61">
        <v>0</v>
      </c>
      <c r="CJ25" s="61">
        <v>0</v>
      </c>
      <c r="CK25" s="61">
        <v>0</v>
      </c>
      <c r="CL25" s="61">
        <v>0</v>
      </c>
      <c r="CM25" s="61">
        <v>0</v>
      </c>
      <c r="CN25" s="61">
        <v>0</v>
      </c>
      <c r="CO25" s="61">
        <v>0</v>
      </c>
      <c r="CP25" s="61">
        <v>0</v>
      </c>
      <c r="CQ25" s="106">
        <v>0</v>
      </c>
      <c r="CR25" s="106">
        <v>0</v>
      </c>
      <c r="CS25" s="106">
        <v>0</v>
      </c>
      <c r="CT25" s="106">
        <v>0</v>
      </c>
      <c r="CU25" s="106">
        <v>0</v>
      </c>
      <c r="CV25" s="106">
        <v>0</v>
      </c>
      <c r="CW25" s="106">
        <v>0</v>
      </c>
      <c r="CX25" s="106">
        <v>0</v>
      </c>
      <c r="CY25" s="106">
        <v>0</v>
      </c>
      <c r="CZ25" s="61">
        <v>0</v>
      </c>
      <c r="DA25" s="61">
        <v>0</v>
      </c>
      <c r="DB25" s="61">
        <v>0</v>
      </c>
      <c r="DC25" s="61">
        <v>0</v>
      </c>
      <c r="DD25" s="61">
        <v>0</v>
      </c>
      <c r="DE25" s="61">
        <v>0</v>
      </c>
      <c r="DF25" s="61">
        <v>0</v>
      </c>
      <c r="DG25" s="61">
        <f>30000000-8631106.33</f>
        <v>21368893.670000002</v>
      </c>
      <c r="DH25" s="61">
        <v>30000000</v>
      </c>
      <c r="DI25" s="61">
        <v>30000000</v>
      </c>
      <c r="DJ25" s="61">
        <v>30000000</v>
      </c>
      <c r="DK25" s="61">
        <v>30000000</v>
      </c>
      <c r="DL25" s="61">
        <v>0</v>
      </c>
      <c r="DM25" s="61">
        <v>0</v>
      </c>
      <c r="DN25" s="61">
        <v>0</v>
      </c>
      <c r="DO25" s="61">
        <f>DS25</f>
        <v>3082042.5199999996</v>
      </c>
      <c r="DP25" s="61">
        <f>DS25</f>
        <v>3082042.5199999996</v>
      </c>
      <c r="DQ25" s="61">
        <f>DS25</f>
        <v>3082042.5199999996</v>
      </c>
      <c r="DR25" s="97">
        <f>DS25</f>
        <v>3082042.5199999996</v>
      </c>
      <c r="DS25" s="61">
        <f>DV25+'[112]Gov''s Intro. Budg. - Dec. 2007'!$F$38</f>
        <v>3082042.5199999996</v>
      </c>
      <c r="DT25" s="97">
        <v>20000000</v>
      </c>
      <c r="DU25" s="97">
        <v>20000000</v>
      </c>
      <c r="DV25" s="97">
        <v>20000000</v>
      </c>
      <c r="DW25" s="97">
        <v>20000000</v>
      </c>
      <c r="DX25" s="57">
        <v>0</v>
      </c>
      <c r="DY25" s="57">
        <v>0</v>
      </c>
      <c r="DZ25" s="57">
        <v>0</v>
      </c>
      <c r="EA25" s="57">
        <v>0</v>
      </c>
      <c r="EB25" s="57">
        <v>0</v>
      </c>
      <c r="EC25" s="57">
        <v>0</v>
      </c>
      <c r="ED25" s="57">
        <v>0</v>
      </c>
      <c r="EE25" s="57">
        <v>0</v>
      </c>
      <c r="EF25" s="57">
        <f>EI25</f>
        <v>15000000</v>
      </c>
      <c r="EG25" s="57">
        <f>EI25</f>
        <v>15000000</v>
      </c>
      <c r="EH25" s="57">
        <f>EI25</f>
        <v>15000000</v>
      </c>
      <c r="EI25" s="57">
        <v>15000000</v>
      </c>
      <c r="EJ25" s="57">
        <f>$EO$25</f>
        <v>0</v>
      </c>
      <c r="EK25" s="57">
        <f>$EO$25</f>
        <v>0</v>
      </c>
      <c r="EL25" s="57">
        <f>$EO$25</f>
        <v>0</v>
      </c>
      <c r="EM25" s="57">
        <f>$EO$25</f>
        <v>0</v>
      </c>
      <c r="EN25" s="14">
        <f>$EO$25</f>
        <v>0</v>
      </c>
      <c r="EO25" s="14">
        <f>EP25</f>
        <v>0</v>
      </c>
      <c r="EP25" s="14">
        <f>EQ25</f>
        <v>0</v>
      </c>
      <c r="EQ25" s="14">
        <v>0</v>
      </c>
      <c r="ER25" s="14">
        <f>SUM(25000000-'[113]2005 Subsidy'!$I$34)</f>
        <v>10110636.789999997</v>
      </c>
      <c r="ES25" s="14">
        <f>ET25</f>
        <v>25000000</v>
      </c>
      <c r="ET25" s="14">
        <f>EU25</f>
        <v>25000000</v>
      </c>
      <c r="EU25" s="14">
        <v>25000000</v>
      </c>
      <c r="EW25" s="4">
        <f>EU21-[66]lit2006!$F$30-[66]lit2006!$L$30</f>
        <v>457667</v>
      </c>
    </row>
    <row r="26" spans="1:153" ht="15" customHeight="1" x14ac:dyDescent="0.25">
      <c r="A26" s="28"/>
      <c r="B26" s="226"/>
      <c r="C26" s="267"/>
      <c r="D26" s="267"/>
      <c r="E26" s="226"/>
      <c r="F26" s="226"/>
      <c r="G26" s="226"/>
      <c r="H26" s="226"/>
      <c r="I26" s="226"/>
      <c r="J26" s="226"/>
      <c r="K26" s="226"/>
      <c r="L26" s="226"/>
      <c r="M26" s="226"/>
      <c r="N26" s="226"/>
      <c r="O26" s="226"/>
      <c r="P26" s="8"/>
      <c r="Q26" s="8"/>
      <c r="R26" s="8"/>
      <c r="S26" s="8"/>
      <c r="T26" s="8"/>
      <c r="U26" s="8"/>
      <c r="V26" s="8"/>
      <c r="W26" s="8"/>
      <c r="X26" s="8"/>
      <c r="Y26" s="8"/>
      <c r="Z26" s="8"/>
      <c r="AA26" s="8"/>
      <c r="AB26" s="8" t="s">
        <v>23</v>
      </c>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5"/>
      <c r="BQ26" s="85"/>
      <c r="BR26" s="85"/>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5"/>
      <c r="DA26" s="85"/>
      <c r="DB26" s="85"/>
      <c r="DC26" s="8"/>
      <c r="DD26" s="8"/>
      <c r="DE26" s="8"/>
      <c r="DF26" s="8"/>
      <c r="DG26" s="8"/>
      <c r="DH26" s="8"/>
      <c r="DI26" s="85"/>
      <c r="DJ26" s="85"/>
      <c r="DK26" s="85"/>
      <c r="DL26" s="85"/>
      <c r="DM26" s="85"/>
      <c r="DN26" s="85"/>
      <c r="DO26" s="8"/>
      <c r="DP26" s="8"/>
      <c r="DQ26" s="8"/>
      <c r="DR26" s="85"/>
      <c r="DS26" s="8"/>
      <c r="DT26" s="8"/>
      <c r="DU26" s="85"/>
      <c r="DV26" s="85"/>
      <c r="DW26" s="96" t="s">
        <v>25</v>
      </c>
      <c r="DX26" s="8"/>
      <c r="DY26" s="8"/>
      <c r="DZ26" s="8"/>
      <c r="EA26" s="8"/>
      <c r="EB26" s="8"/>
      <c r="EC26" s="8"/>
      <c r="ED26" s="37"/>
      <c r="EE26" s="37"/>
      <c r="EF26" s="37"/>
      <c r="EG26" s="37"/>
      <c r="EH26" s="37"/>
      <c r="EI26" s="37"/>
      <c r="EJ26" s="15"/>
      <c r="EK26" s="15"/>
      <c r="EL26" s="15"/>
      <c r="EM26" s="15"/>
      <c r="EN26" s="15"/>
      <c r="EO26" s="15"/>
      <c r="EP26" s="15"/>
      <c r="EQ26" s="15"/>
      <c r="ER26" s="15"/>
      <c r="ES26" s="15"/>
      <c r="ET26" s="15"/>
      <c r="EU26" s="15"/>
    </row>
    <row r="27" spans="1:153" ht="15.75" customHeight="1" x14ac:dyDescent="0.25">
      <c r="A27" s="28">
        <v>9</v>
      </c>
      <c r="B27" s="226" t="s">
        <v>38</v>
      </c>
      <c r="C27" s="268">
        <f>D27</f>
        <v>5916825.6100000003</v>
      </c>
      <c r="D27" s="268">
        <f>E27-29625-57375-85000-112875-108176.39</f>
        <v>5916825.6100000003</v>
      </c>
      <c r="E27" s="98">
        <v>6309877</v>
      </c>
      <c r="F27" s="98">
        <v>0</v>
      </c>
      <c r="G27" s="98">
        <f>6252858-392030.56</f>
        <v>5860827.4400000004</v>
      </c>
      <c r="H27" s="98">
        <f>6252858-392030.56</f>
        <v>5860827.4400000004</v>
      </c>
      <c r="I27" s="98">
        <v>6252858</v>
      </c>
      <c r="J27" s="98">
        <v>0</v>
      </c>
      <c r="K27" s="98">
        <f>6163368-276813</f>
        <v>5886555</v>
      </c>
      <c r="L27" s="98">
        <f>6163368-276813</f>
        <v>5886555</v>
      </c>
      <c r="M27" s="98">
        <v>6163368</v>
      </c>
      <c r="N27" s="98">
        <v>0</v>
      </c>
      <c r="O27" s="98">
        <v>4924392</v>
      </c>
      <c r="P27" s="85">
        <v>4924392</v>
      </c>
      <c r="Q27" s="85">
        <v>4924392</v>
      </c>
      <c r="R27" s="85">
        <v>4924392</v>
      </c>
      <c r="S27" s="85">
        <v>4924392</v>
      </c>
      <c r="T27" s="85">
        <f>U27-1122125-1124500-1135375</f>
        <v>0</v>
      </c>
      <c r="U27" s="85">
        <f>V27</f>
        <v>3382000</v>
      </c>
      <c r="V27" s="85">
        <f>W27-301429.17</f>
        <v>3382000</v>
      </c>
      <c r="W27" s="15">
        <v>3683429.17</v>
      </c>
      <c r="X27" s="15">
        <v>3683429.17</v>
      </c>
      <c r="Y27" s="15">
        <f>3683429.17</f>
        <v>3683429.17</v>
      </c>
      <c r="Z27" s="85">
        <f>1204250+1234000+1245179.17</f>
        <v>3683429.17</v>
      </c>
      <c r="AA27" s="85">
        <f>3699745</f>
        <v>3699745</v>
      </c>
      <c r="AB27" s="85">
        <f>3699745</f>
        <v>3699745</v>
      </c>
      <c r="AC27" s="85">
        <f>3699745</f>
        <v>3699745</v>
      </c>
      <c r="AD27" s="85">
        <f>3699745</f>
        <v>3699745</v>
      </c>
      <c r="AE27" s="85">
        <f>3699745</f>
        <v>3699745</v>
      </c>
      <c r="AF27" s="85">
        <v>0</v>
      </c>
      <c r="AG27" s="85">
        <f>AH27</f>
        <v>-0.46999999997206032</v>
      </c>
      <c r="AH27" s="188">
        <f>AI27-1203750-1236128.47</f>
        <v>-0.46999999997206032</v>
      </c>
      <c r="AI27" s="85">
        <f>1203750+1236128</f>
        <v>2439878</v>
      </c>
      <c r="AJ27" s="85">
        <f>AK27</f>
        <v>2439878</v>
      </c>
      <c r="AK27" s="85">
        <f>1203750+1236128</f>
        <v>2439878</v>
      </c>
      <c r="AL27" s="85">
        <v>2503750</v>
      </c>
      <c r="AM27" s="85">
        <v>2503750</v>
      </c>
      <c r="AN27" s="85">
        <v>2503750</v>
      </c>
      <c r="AO27" s="85">
        <v>2503750</v>
      </c>
      <c r="AP27" s="85">
        <v>2503750</v>
      </c>
      <c r="AQ27" s="85">
        <v>2503750</v>
      </c>
      <c r="AR27" s="61">
        <v>0</v>
      </c>
      <c r="AS27" s="61">
        <v>0</v>
      </c>
      <c r="AT27" s="61">
        <v>0</v>
      </c>
      <c r="AU27" s="85">
        <v>1288145</v>
      </c>
      <c r="AV27" s="85">
        <f>BA27</f>
        <v>1300000</v>
      </c>
      <c r="AW27" s="85">
        <f>BB27</f>
        <v>1300000</v>
      </c>
      <c r="AX27" s="85">
        <f>BC27</f>
        <v>1300000</v>
      </c>
      <c r="AY27" s="85">
        <f>BC27</f>
        <v>1300000</v>
      </c>
      <c r="AZ27" s="85">
        <f>BC27</f>
        <v>1300000</v>
      </c>
      <c r="BA27" s="165">
        <f>BC27</f>
        <v>1300000</v>
      </c>
      <c r="BB27" s="85">
        <f>BC27</f>
        <v>1300000</v>
      </c>
      <c r="BC27" s="85">
        <v>1300000</v>
      </c>
      <c r="BD27" s="8"/>
      <c r="BE27" s="8"/>
      <c r="BF27" s="8"/>
      <c r="BG27" s="8"/>
      <c r="BH27" s="8"/>
      <c r="BI27" s="8"/>
      <c r="BJ27" s="8"/>
      <c r="BK27" s="8"/>
      <c r="BL27" s="8"/>
      <c r="BM27" s="8"/>
      <c r="BN27" s="8"/>
      <c r="BO27" s="8"/>
      <c r="BP27" s="85"/>
      <c r="BQ27" s="85"/>
      <c r="BR27" s="85"/>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5"/>
      <c r="DA27" s="85"/>
      <c r="DB27" s="85"/>
      <c r="DC27" s="8"/>
      <c r="DD27" s="8"/>
      <c r="DE27" s="8"/>
      <c r="DF27" s="8"/>
      <c r="DG27" s="8"/>
      <c r="DH27" s="8"/>
      <c r="DI27" s="85"/>
      <c r="DJ27" s="85"/>
      <c r="DK27" s="85"/>
      <c r="DL27" s="85"/>
      <c r="DM27" s="85"/>
      <c r="DN27" s="85"/>
      <c r="DO27" s="8"/>
      <c r="DP27" s="8"/>
      <c r="DQ27" s="8"/>
      <c r="DR27" s="85"/>
      <c r="DS27" s="8"/>
      <c r="DT27" s="8"/>
      <c r="DU27" s="85"/>
      <c r="DV27" s="85"/>
      <c r="DW27" s="96"/>
      <c r="DX27" s="8"/>
      <c r="DY27" s="8"/>
      <c r="DZ27" s="8"/>
      <c r="EA27" s="8"/>
      <c r="EB27" s="8"/>
      <c r="EC27" s="8"/>
      <c r="ED27" s="37"/>
      <c r="EE27" s="37"/>
      <c r="EF27" s="37"/>
      <c r="EG27" s="37"/>
      <c r="EH27" s="37"/>
      <c r="EI27" s="37"/>
      <c r="EJ27" s="15"/>
      <c r="EK27" s="15"/>
      <c r="EL27" s="15"/>
      <c r="EM27" s="15"/>
      <c r="EN27" s="15"/>
      <c r="EO27" s="15"/>
      <c r="EP27" s="15"/>
      <c r="EQ27" s="15"/>
      <c r="ER27" s="15"/>
      <c r="ES27" s="15"/>
      <c r="ET27" s="15"/>
      <c r="EU27" s="15"/>
    </row>
    <row r="28" spans="1:153" ht="15" customHeight="1" x14ac:dyDescent="0.25">
      <c r="A28" s="28"/>
      <c r="B28" s="226"/>
      <c r="C28" s="226"/>
      <c r="D28" s="226"/>
      <c r="E28" s="226"/>
      <c r="F28" s="226"/>
      <c r="G28" s="226"/>
      <c r="H28" s="226"/>
      <c r="I28" s="226"/>
      <c r="J28" s="226"/>
      <c r="K28" s="226"/>
      <c r="L28" s="226"/>
      <c r="M28" s="226"/>
      <c r="N28" s="226"/>
      <c r="O28" s="226"/>
      <c r="P28" s="8"/>
      <c r="Q28" s="8"/>
      <c r="R28" s="8"/>
      <c r="S28" s="8"/>
      <c r="T28" s="8"/>
      <c r="U28" s="8"/>
      <c r="V28" s="8"/>
      <c r="W28" s="8"/>
      <c r="X28" s="8"/>
      <c r="Y28" s="8"/>
      <c r="Z28" s="8"/>
      <c r="AA28" s="8"/>
      <c r="AB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5"/>
      <c r="BQ28" s="85"/>
      <c r="BR28" s="85"/>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5"/>
      <c r="DA28" s="85"/>
      <c r="DB28" s="85"/>
      <c r="DC28" s="8"/>
      <c r="DD28" s="8"/>
      <c r="DE28" s="8"/>
      <c r="DF28" s="8"/>
      <c r="DG28" s="8"/>
      <c r="DH28" s="8"/>
      <c r="DI28" s="85"/>
      <c r="DJ28" s="85"/>
      <c r="DK28" s="85"/>
      <c r="DL28" s="85"/>
      <c r="DM28" s="85"/>
      <c r="DN28" s="85"/>
      <c r="DO28" s="8"/>
      <c r="DP28" s="8"/>
      <c r="DQ28" s="8"/>
      <c r="DR28" s="85"/>
      <c r="DS28" s="8"/>
      <c r="DT28" s="8"/>
      <c r="DU28" s="85"/>
      <c r="DV28" s="85"/>
      <c r="DW28" s="96"/>
      <c r="DX28" s="8"/>
      <c r="DY28" s="8"/>
      <c r="DZ28" s="8"/>
      <c r="EA28" s="8"/>
      <c r="EB28" s="8"/>
      <c r="EC28" s="8"/>
      <c r="ED28" s="37"/>
      <c r="EE28" s="37"/>
      <c r="EF28" s="37"/>
      <c r="EG28" s="37"/>
      <c r="EH28" s="37"/>
      <c r="EI28" s="37"/>
      <c r="EJ28" s="15"/>
      <c r="EK28" s="15"/>
      <c r="EL28" s="15"/>
      <c r="EM28" s="15"/>
      <c r="EN28" s="15"/>
      <c r="EO28" s="15"/>
      <c r="EP28" s="15"/>
      <c r="EQ28" s="15"/>
      <c r="ER28" s="15"/>
      <c r="ES28" s="15"/>
      <c r="ET28" s="15"/>
      <c r="EU28" s="15"/>
    </row>
    <row r="29" spans="1:153" ht="15" hidden="1" customHeight="1" x14ac:dyDescent="0.25">
      <c r="A29" s="157">
        <v>10</v>
      </c>
      <c r="B29" s="227" t="s">
        <v>21</v>
      </c>
      <c r="C29" s="227"/>
      <c r="D29" s="227"/>
      <c r="E29" s="227"/>
      <c r="F29" s="227"/>
      <c r="G29" s="227"/>
      <c r="H29" s="227"/>
      <c r="I29" s="227"/>
      <c r="J29" s="227"/>
      <c r="K29" s="227"/>
      <c r="L29" s="227"/>
      <c r="M29" s="227"/>
      <c r="N29" s="227"/>
      <c r="O29" s="227"/>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3">
        <v>0</v>
      </c>
      <c r="BQ29" s="153">
        <v>0</v>
      </c>
      <c r="BR29" s="153">
        <v>0</v>
      </c>
      <c r="BS29" s="153">
        <v>0</v>
      </c>
      <c r="BT29" s="153">
        <v>0</v>
      </c>
      <c r="BU29" s="153">
        <v>0</v>
      </c>
      <c r="BV29" s="153">
        <v>0</v>
      </c>
      <c r="BW29" s="153">
        <v>0</v>
      </c>
      <c r="BX29" s="153">
        <v>0</v>
      </c>
      <c r="BY29" s="153">
        <v>0</v>
      </c>
      <c r="BZ29" s="153">
        <v>0</v>
      </c>
      <c r="CA29" s="153">
        <v>0</v>
      </c>
      <c r="CB29" s="153">
        <v>0</v>
      </c>
      <c r="CC29" s="153">
        <v>0</v>
      </c>
      <c r="CD29" s="153">
        <v>0</v>
      </c>
      <c r="CE29" s="153">
        <v>0</v>
      </c>
      <c r="CF29" s="153">
        <v>0</v>
      </c>
      <c r="CG29" s="153">
        <v>0</v>
      </c>
      <c r="CH29" s="153">
        <v>0</v>
      </c>
      <c r="CI29" s="153">
        <v>0</v>
      </c>
      <c r="CJ29" s="153">
        <v>0</v>
      </c>
      <c r="CK29" s="153">
        <v>0</v>
      </c>
      <c r="CL29" s="153">
        <v>0</v>
      </c>
      <c r="CM29" s="153">
        <v>0</v>
      </c>
      <c r="CN29" s="153">
        <v>0</v>
      </c>
      <c r="CO29" s="61">
        <f>EU29</f>
        <v>5657429</v>
      </c>
      <c r="CP29" s="61">
        <f>EU29</f>
        <v>5657429</v>
      </c>
      <c r="CQ29" s="61">
        <f t="shared" ref="CQ29:DQ29" si="10">$EU$29</f>
        <v>5657429</v>
      </c>
      <c r="CR29" s="61">
        <f t="shared" si="10"/>
        <v>5657429</v>
      </c>
      <c r="CS29" s="61">
        <f t="shared" si="10"/>
        <v>5657429</v>
      </c>
      <c r="CT29" s="61">
        <f t="shared" si="10"/>
        <v>5657429</v>
      </c>
      <c r="CU29" s="61">
        <f t="shared" si="10"/>
        <v>5657429</v>
      </c>
      <c r="CV29" s="61">
        <f t="shared" si="10"/>
        <v>5657429</v>
      </c>
      <c r="CW29" s="61">
        <f t="shared" si="10"/>
        <v>5657429</v>
      </c>
      <c r="CX29" s="61">
        <f t="shared" si="10"/>
        <v>5657429</v>
      </c>
      <c r="CY29" s="61">
        <f t="shared" si="10"/>
        <v>5657429</v>
      </c>
      <c r="CZ29" s="61">
        <f t="shared" si="10"/>
        <v>5657429</v>
      </c>
      <c r="DA29" s="61">
        <f t="shared" si="10"/>
        <v>5657429</v>
      </c>
      <c r="DB29" s="61">
        <f t="shared" si="10"/>
        <v>5657429</v>
      </c>
      <c r="DC29" s="61">
        <f t="shared" si="10"/>
        <v>5657429</v>
      </c>
      <c r="DD29" s="61">
        <f t="shared" si="10"/>
        <v>5657429</v>
      </c>
      <c r="DE29" s="61">
        <f t="shared" si="10"/>
        <v>5657429</v>
      </c>
      <c r="DF29" s="61">
        <f t="shared" si="10"/>
        <v>5657429</v>
      </c>
      <c r="DG29" s="61">
        <f t="shared" si="10"/>
        <v>5657429</v>
      </c>
      <c r="DH29" s="61">
        <f t="shared" si="10"/>
        <v>5657429</v>
      </c>
      <c r="DI29" s="61">
        <f t="shared" si="10"/>
        <v>5657429</v>
      </c>
      <c r="DJ29" s="61">
        <f t="shared" si="10"/>
        <v>5657429</v>
      </c>
      <c r="DK29" s="61">
        <f t="shared" si="10"/>
        <v>5657429</v>
      </c>
      <c r="DL29" s="61">
        <f t="shared" si="10"/>
        <v>5657429</v>
      </c>
      <c r="DM29" s="61">
        <f t="shared" si="10"/>
        <v>5657429</v>
      </c>
      <c r="DN29" s="61">
        <f t="shared" si="10"/>
        <v>5657429</v>
      </c>
      <c r="DO29" s="61">
        <f t="shared" si="10"/>
        <v>5657429</v>
      </c>
      <c r="DP29" s="61">
        <f t="shared" si="10"/>
        <v>5657429</v>
      </c>
      <c r="DQ29" s="61">
        <f t="shared" si="10"/>
        <v>5657429</v>
      </c>
      <c r="DR29" s="68">
        <f t="shared" ref="DR29:EN29" si="11">$EU$29</f>
        <v>5657429</v>
      </c>
      <c r="DS29" s="68">
        <f t="shared" si="11"/>
        <v>5657429</v>
      </c>
      <c r="DT29" s="68">
        <f t="shared" si="11"/>
        <v>5657429</v>
      </c>
      <c r="DU29" s="68">
        <f t="shared" si="11"/>
        <v>5657429</v>
      </c>
      <c r="DV29" s="68">
        <f t="shared" si="11"/>
        <v>5657429</v>
      </c>
      <c r="DW29" s="68">
        <f t="shared" si="11"/>
        <v>5657429</v>
      </c>
      <c r="DX29" s="68">
        <f t="shared" si="11"/>
        <v>5657429</v>
      </c>
      <c r="DY29" s="68">
        <f t="shared" si="11"/>
        <v>5657429</v>
      </c>
      <c r="DZ29" s="68">
        <f t="shared" si="11"/>
        <v>5657429</v>
      </c>
      <c r="EA29" s="68">
        <f t="shared" si="11"/>
        <v>5657429</v>
      </c>
      <c r="EB29" s="68">
        <f t="shared" si="11"/>
        <v>5657429</v>
      </c>
      <c r="EC29" s="68">
        <f t="shared" si="11"/>
        <v>5657429</v>
      </c>
      <c r="ED29" s="68">
        <f t="shared" si="11"/>
        <v>5657429</v>
      </c>
      <c r="EE29" s="68">
        <f t="shared" si="11"/>
        <v>5657429</v>
      </c>
      <c r="EF29" s="68">
        <f t="shared" si="11"/>
        <v>5657429</v>
      </c>
      <c r="EG29" s="68">
        <f t="shared" si="11"/>
        <v>5657429</v>
      </c>
      <c r="EH29" s="68">
        <f t="shared" si="11"/>
        <v>5657429</v>
      </c>
      <c r="EI29" s="68">
        <f t="shared" si="11"/>
        <v>5657429</v>
      </c>
      <c r="EJ29" s="20">
        <f t="shared" si="11"/>
        <v>5657429</v>
      </c>
      <c r="EK29" s="20">
        <f t="shared" si="11"/>
        <v>5657429</v>
      </c>
      <c r="EL29" s="20">
        <f t="shared" si="11"/>
        <v>5657429</v>
      </c>
      <c r="EM29" s="20">
        <f t="shared" si="11"/>
        <v>5657429</v>
      </c>
      <c r="EN29" s="20">
        <f t="shared" si="11"/>
        <v>5657429</v>
      </c>
      <c r="EO29" s="20">
        <f t="shared" ref="EO29:ET29" si="12">$EU$29</f>
        <v>5657429</v>
      </c>
      <c r="EP29" s="20">
        <f t="shared" si="12"/>
        <v>5657429</v>
      </c>
      <c r="EQ29" s="20">
        <f t="shared" si="12"/>
        <v>5657429</v>
      </c>
      <c r="ER29" s="20">
        <f t="shared" si="12"/>
        <v>5657429</v>
      </c>
      <c r="ES29" s="20">
        <f t="shared" si="12"/>
        <v>5657429</v>
      </c>
      <c r="ET29" s="20">
        <f t="shared" si="12"/>
        <v>5657429</v>
      </c>
      <c r="EU29" s="20">
        <v>5657429</v>
      </c>
      <c r="EW29" s="4"/>
    </row>
    <row r="30" spans="1:153" ht="11.25" hidden="1" customHeight="1" x14ac:dyDescent="0.25">
      <c r="A30" s="28"/>
      <c r="B30" s="71"/>
      <c r="C30" s="71"/>
      <c r="D30" s="71"/>
      <c r="E30" s="71"/>
      <c r="F30" s="71"/>
      <c r="G30" s="71"/>
      <c r="H30" s="71"/>
      <c r="I30" s="71"/>
      <c r="J30" s="71"/>
      <c r="K30" s="71"/>
      <c r="L30" s="71"/>
      <c r="M30" s="71"/>
      <c r="N30" s="71"/>
      <c r="O30" s="71"/>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61"/>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61"/>
      <c r="DA30" s="61"/>
      <c r="DB30" s="61"/>
      <c r="DC30" s="9"/>
      <c r="DD30" s="9"/>
      <c r="DE30" s="9"/>
      <c r="DF30" s="9"/>
      <c r="DG30" s="9"/>
      <c r="DH30" s="9"/>
      <c r="DI30" s="61"/>
      <c r="DJ30" s="61"/>
      <c r="DK30" s="61"/>
      <c r="DL30" s="61"/>
      <c r="DM30" s="61"/>
      <c r="DN30" s="61"/>
      <c r="DO30" s="9"/>
      <c r="DP30" s="9"/>
      <c r="DQ30" s="9"/>
      <c r="DR30" s="9"/>
      <c r="DS30" s="9"/>
      <c r="DT30" s="9"/>
      <c r="DU30" s="61"/>
      <c r="DV30" s="61"/>
      <c r="DW30" s="61"/>
      <c r="DX30" s="9"/>
      <c r="DY30" s="9"/>
      <c r="DZ30" s="9"/>
      <c r="EA30" s="9"/>
      <c r="EB30" s="9"/>
      <c r="EC30" s="9"/>
      <c r="ED30" s="68"/>
      <c r="EE30" s="68"/>
      <c r="EF30" s="68"/>
      <c r="EG30" s="68"/>
      <c r="EH30" s="68"/>
      <c r="EI30" s="68"/>
      <c r="EJ30" s="20"/>
      <c r="EK30" s="20"/>
      <c r="EL30" s="20"/>
      <c r="EM30" s="20"/>
      <c r="EN30" s="20"/>
      <c r="EO30" s="20"/>
      <c r="EP30" s="20"/>
      <c r="EQ30" s="20"/>
      <c r="ER30" s="20"/>
      <c r="ES30" s="20"/>
      <c r="ET30" s="20"/>
      <c r="EU30" s="20"/>
    </row>
    <row r="31" spans="1:153" ht="15.75" x14ac:dyDescent="0.25">
      <c r="A31" s="28">
        <v>10</v>
      </c>
      <c r="B31" s="71" t="s">
        <v>33</v>
      </c>
      <c r="C31" s="231">
        <f>'[114]Fund Code Appropriations'!$C$6</f>
        <v>136349570</v>
      </c>
      <c r="D31" s="231">
        <f>'[114]Fund Code Appropriations'!$C$6</f>
        <v>136349570</v>
      </c>
      <c r="E31" s="231">
        <f>'[114]Fund Code Appropriations'!$C$6</f>
        <v>136349570</v>
      </c>
      <c r="F31" s="231">
        <v>0</v>
      </c>
      <c r="G31" s="231">
        <f>'[115]Fund Code Appropriations'!$B$6</f>
        <v>146349570</v>
      </c>
      <c r="H31" s="231">
        <f>'[115]Fund Code Appropriations'!$B$6</f>
        <v>146349570</v>
      </c>
      <c r="I31" s="231">
        <f>'[115]Fund Code Appropriations'!$B$6</f>
        <v>146349570</v>
      </c>
      <c r="J31" s="231">
        <v>0</v>
      </c>
      <c r="K31" s="231">
        <f>'[116]Fund Code Appropriations'!$C$6</f>
        <v>181349570</v>
      </c>
      <c r="L31" s="231">
        <f>'[116]Fund Code Appropriations'!$C$6</f>
        <v>181349570</v>
      </c>
      <c r="M31" s="231">
        <f>'[116]Fund Code Appropriations'!$C$6</f>
        <v>181349570</v>
      </c>
      <c r="N31" s="231">
        <f>O31-'[11]lit 2017'!$N$36</f>
        <v>0</v>
      </c>
      <c r="O31" s="231">
        <v>199347523</v>
      </c>
      <c r="P31" s="61">
        <v>199347523</v>
      </c>
      <c r="Q31" s="61">
        <v>191347523</v>
      </c>
      <c r="R31" s="61">
        <v>191347523</v>
      </c>
      <c r="S31" s="61">
        <v>191347523</v>
      </c>
      <c r="T31" s="219">
        <f>U31-'[15]lit 2016'!$N$36</f>
        <v>0</v>
      </c>
      <c r="U31" s="219">
        <v>165223825</v>
      </c>
      <c r="V31" s="195">
        <v>165223825</v>
      </c>
      <c r="W31" s="195">
        <v>165223825</v>
      </c>
      <c r="X31" s="195">
        <v>165223825</v>
      </c>
      <c r="Y31" s="195">
        <v>165223825</v>
      </c>
      <c r="Z31" s="206">
        <v>165223825</v>
      </c>
      <c r="AA31" s="195">
        <v>165223825</v>
      </c>
      <c r="AB31" s="195">
        <v>165223825</v>
      </c>
      <c r="AC31" s="195">
        <v>165223825</v>
      </c>
      <c r="AD31" s="195">
        <v>165223825</v>
      </c>
      <c r="AE31" s="195">
        <v>165223825</v>
      </c>
      <c r="AF31" s="97">
        <f>AG31-182855378</f>
        <v>0</v>
      </c>
      <c r="AG31" s="61">
        <f>-'[117]House Budget Feb2015'!$M$12</f>
        <v>182855378</v>
      </c>
      <c r="AH31" s="61">
        <f>-'[117]House Budget Feb2015'!$M$12</f>
        <v>182855378</v>
      </c>
      <c r="AI31" s="61">
        <f>-'[117]House Budget Feb2015'!$M$12</f>
        <v>182855378</v>
      </c>
      <c r="AJ31" s="61">
        <f>-'[117]House Budget Feb2015'!$M$12</f>
        <v>182855378</v>
      </c>
      <c r="AK31" s="61">
        <f>-'[117]House Budget Feb2015'!$M$12</f>
        <v>182855378</v>
      </c>
      <c r="AL31" s="61">
        <f>SUM(142855378+15000000)</f>
        <v>157855378</v>
      </c>
      <c r="AM31" s="61">
        <f>SUM(142855378+15000000)</f>
        <v>157855378</v>
      </c>
      <c r="AN31" s="61">
        <f>SUM(142855378+15000000)</f>
        <v>157855378</v>
      </c>
      <c r="AO31" s="61">
        <v>142855378</v>
      </c>
      <c r="AP31" s="61">
        <v>142855378</v>
      </c>
      <c r="AQ31" s="61">
        <v>142855378</v>
      </c>
      <c r="AR31" s="61">
        <f>AS31-'[24]lit 2014'!$N$35</f>
        <v>0</v>
      </c>
      <c r="AS31" s="61">
        <f>AT31</f>
        <v>144438573</v>
      </c>
      <c r="AT31" s="61">
        <f>AU31</f>
        <v>144438573</v>
      </c>
      <c r="AU31" s="61">
        <v>144438573</v>
      </c>
      <c r="AV31" s="61">
        <f>BA31</f>
        <v>135990713</v>
      </c>
      <c r="AW31" s="61">
        <f>BB31</f>
        <v>135990713</v>
      </c>
      <c r="AX31" s="61">
        <f>BC31</f>
        <v>135990713</v>
      </c>
      <c r="AY31" s="61">
        <f>BC31</f>
        <v>135990713</v>
      </c>
      <c r="AZ31" s="61">
        <f>BC31</f>
        <v>135990713</v>
      </c>
      <c r="BA31" s="61">
        <f>BC31</f>
        <v>135990713</v>
      </c>
      <c r="BB31" s="61">
        <f>BC31</f>
        <v>135990713</v>
      </c>
      <c r="BC31" s="61">
        <v>135990713</v>
      </c>
      <c r="BD31" s="61">
        <f>BE31-'[28]lit 2013'!$N$35</f>
        <v>0</v>
      </c>
      <c r="BE31" s="61">
        <f>BG31</f>
        <v>140086428</v>
      </c>
      <c r="BF31" s="61">
        <f>BH31</f>
        <v>140086428</v>
      </c>
      <c r="BG31" s="61">
        <f>BI31</f>
        <v>140086428</v>
      </c>
      <c r="BH31" s="61">
        <f>BI31</f>
        <v>140086428</v>
      </c>
      <c r="BI31" s="61">
        <v>140086428</v>
      </c>
      <c r="BJ31" s="61">
        <f>BO31</f>
        <v>131086428</v>
      </c>
      <c r="BK31" s="61">
        <f>BO31</f>
        <v>131086428</v>
      </c>
      <c r="BL31" s="61">
        <f>BO31</f>
        <v>131086428</v>
      </c>
      <c r="BM31" s="61">
        <f>BO31</f>
        <v>131086428</v>
      </c>
      <c r="BN31" s="61">
        <f>BO31</f>
        <v>131086428</v>
      </c>
      <c r="BO31" s="61">
        <v>131086428</v>
      </c>
      <c r="BP31" s="61">
        <f>BQ31-'[32]lit 2012'!$N$35</f>
        <v>0</v>
      </c>
      <c r="BQ31" s="61">
        <f>CA31</f>
        <v>130086428</v>
      </c>
      <c r="BR31" s="61">
        <f>CA31</f>
        <v>130086428</v>
      </c>
      <c r="BS31" s="61">
        <f>CA31</f>
        <v>130086428</v>
      </c>
      <c r="BT31" s="61">
        <f>CA31</f>
        <v>130086428</v>
      </c>
      <c r="BU31" s="61">
        <f>CA31</f>
        <v>130086428</v>
      </c>
      <c r="BV31" s="61">
        <f>CA31</f>
        <v>130086428</v>
      </c>
      <c r="BW31" s="61">
        <f>CA31</f>
        <v>130086428</v>
      </c>
      <c r="BX31" s="61">
        <f>CA31</f>
        <v>130086428</v>
      </c>
      <c r="BY31" s="61">
        <f>CA31</f>
        <v>130086428</v>
      </c>
      <c r="BZ31" s="61">
        <f>CA31</f>
        <v>130086428</v>
      </c>
      <c r="CA31" s="61">
        <v>130086428</v>
      </c>
      <c r="CB31" s="61">
        <f>CC31-'[36]lit 2011'!$N$35</f>
        <v>0</v>
      </c>
      <c r="CC31" s="61">
        <f>CH31</f>
        <v>139575000</v>
      </c>
      <c r="CD31" s="61">
        <f>CH31</f>
        <v>139575000</v>
      </c>
      <c r="CE31" s="61">
        <f>CH31</f>
        <v>139575000</v>
      </c>
      <c r="CF31" s="61">
        <f>CH31</f>
        <v>139575000</v>
      </c>
      <c r="CG31" s="61">
        <f>CH31</f>
        <v>139575000</v>
      </c>
      <c r="CH31" s="61">
        <v>139575000</v>
      </c>
      <c r="CI31" s="61">
        <f>CM31</f>
        <v>141575000</v>
      </c>
      <c r="CJ31" s="61">
        <f>CM31</f>
        <v>141575000</v>
      </c>
      <c r="CK31" s="61">
        <f>CM31</f>
        <v>141575000</v>
      </c>
      <c r="CL31" s="61">
        <f>CM31</f>
        <v>141575000</v>
      </c>
      <c r="CM31" s="61">
        <v>141575000</v>
      </c>
      <c r="CN31" s="61">
        <f>SUM(CO31-'[40]lit 2010'!$N$35)</f>
        <v>0</v>
      </c>
      <c r="CO31" s="61">
        <f t="shared" ref="CO31:CT31" si="13">CQ31</f>
        <v>195000000</v>
      </c>
      <c r="CP31" s="61">
        <f t="shared" si="13"/>
        <v>195000000</v>
      </c>
      <c r="CQ31" s="61">
        <f t="shared" si="13"/>
        <v>195000000</v>
      </c>
      <c r="CR31" s="61">
        <f t="shared" si="13"/>
        <v>195000000</v>
      </c>
      <c r="CS31" s="61">
        <f t="shared" si="13"/>
        <v>195000000</v>
      </c>
      <c r="CT31" s="61">
        <f t="shared" si="13"/>
        <v>195000000</v>
      </c>
      <c r="CU31" s="61">
        <f>CV31</f>
        <v>195000000</v>
      </c>
      <c r="CV31" s="61">
        <v>195000000</v>
      </c>
      <c r="CW31" s="106">
        <v>122979935</v>
      </c>
      <c r="CX31" s="106">
        <v>122979935</v>
      </c>
      <c r="CY31" s="106">
        <v>122979935</v>
      </c>
      <c r="CZ31" s="61">
        <v>0</v>
      </c>
      <c r="DA31" s="61">
        <f>$DB$31-[47]lit2009!$M$34</f>
        <v>0</v>
      </c>
      <c r="DB31" s="61">
        <f>DE31</f>
        <v>228691828</v>
      </c>
      <c r="DC31" s="61">
        <f>DF31</f>
        <v>228691828</v>
      </c>
      <c r="DD31" s="61">
        <f>DF31</f>
        <v>228691828</v>
      </c>
      <c r="DE31" s="61">
        <f>DF31</f>
        <v>228691828</v>
      </c>
      <c r="DF31" s="61">
        <v>228691828</v>
      </c>
      <c r="DG31" s="61">
        <f>DK31</f>
        <v>186128935</v>
      </c>
      <c r="DH31" s="61">
        <f>DK31</f>
        <v>186128935</v>
      </c>
      <c r="DI31" s="61">
        <f>DK31</f>
        <v>186128935</v>
      </c>
      <c r="DJ31" s="61">
        <f>DK31</f>
        <v>186128935</v>
      </c>
      <c r="DK31" s="61">
        <v>186128935</v>
      </c>
      <c r="DL31" s="61">
        <v>0</v>
      </c>
      <c r="DM31" s="61">
        <v>0</v>
      </c>
      <c r="DN31" s="97">
        <f>-'[112]Gov''s Intro. Budg. - Dec. 2007'!$F$11</f>
        <v>124934530</v>
      </c>
      <c r="DO31" s="97">
        <f>-'[112]Gov''s Intro. Budg. - Dec. 2007'!$F$11</f>
        <v>124934530</v>
      </c>
      <c r="DP31" s="97">
        <f>-'[112]Gov''s Intro. Budg. - Dec. 2007'!$F$11</f>
        <v>124934530</v>
      </c>
      <c r="DQ31" s="97">
        <f>-'[112]Gov''s Intro. Budg. - Dec. 2007'!$F$11</f>
        <v>124934530</v>
      </c>
      <c r="DR31" s="97">
        <f>-'[112]Gov''s Intro. Budg. - Dec. 2007'!$F$11</f>
        <v>124934530</v>
      </c>
      <c r="DS31" s="97">
        <v>116128935</v>
      </c>
      <c r="DT31" s="97">
        <v>116128935</v>
      </c>
      <c r="DU31" s="97">
        <v>116128935</v>
      </c>
      <c r="DV31" s="97">
        <v>116128935</v>
      </c>
      <c r="DW31" s="97">
        <v>116128935</v>
      </c>
      <c r="DX31" s="68">
        <v>0</v>
      </c>
      <c r="DY31" s="68">
        <v>0</v>
      </c>
      <c r="DZ31" s="68">
        <v>116003959</v>
      </c>
      <c r="EA31" s="68">
        <v>116003959</v>
      </c>
      <c r="EB31" s="68">
        <v>115854700</v>
      </c>
      <c r="EC31" s="68">
        <v>115854700</v>
      </c>
      <c r="ED31" s="68">
        <v>115854700</v>
      </c>
      <c r="EE31" s="68">
        <v>115854700</v>
      </c>
      <c r="EF31" s="68">
        <v>115854700</v>
      </c>
      <c r="EG31" s="68">
        <v>115854700</v>
      </c>
      <c r="EH31" s="68">
        <v>115854700</v>
      </c>
      <c r="EI31" s="68">
        <v>115854700</v>
      </c>
      <c r="EJ31" s="20">
        <v>0</v>
      </c>
      <c r="EK31" s="20">
        <f>$EU$31</f>
        <v>125854700</v>
      </c>
      <c r="EL31" s="20">
        <f>$EU$31</f>
        <v>125854700</v>
      </c>
      <c r="EM31" s="20">
        <f>$EU$31</f>
        <v>125854700</v>
      </c>
      <c r="EN31" s="20">
        <f>$EU$31</f>
        <v>125854700</v>
      </c>
      <c r="EO31" s="20">
        <f t="shared" ref="EO31:ET31" si="14">$EU$31</f>
        <v>125854700</v>
      </c>
      <c r="EP31" s="20">
        <f t="shared" si="14"/>
        <v>125854700</v>
      </c>
      <c r="EQ31" s="20">
        <f t="shared" si="14"/>
        <v>125854700</v>
      </c>
      <c r="ER31" s="20">
        <f t="shared" si="14"/>
        <v>125854700</v>
      </c>
      <c r="ES31" s="20">
        <f t="shared" si="14"/>
        <v>125854700</v>
      </c>
      <c r="ET31" s="20">
        <f t="shared" si="14"/>
        <v>125854700</v>
      </c>
      <c r="EU31" s="20">
        <v>125854700</v>
      </c>
      <c r="EV31" s="2" t="s">
        <v>26</v>
      </c>
    </row>
    <row r="32" spans="1:153" ht="15" hidden="1" customHeight="1" x14ac:dyDescent="0.25">
      <c r="A32" s="28"/>
      <c r="B32" s="71"/>
      <c r="C32" s="71"/>
      <c r="D32" s="71"/>
      <c r="E32" s="71"/>
      <c r="F32" s="71"/>
      <c r="G32" s="71"/>
      <c r="H32" s="71"/>
      <c r="I32" s="71"/>
      <c r="J32" s="71"/>
      <c r="K32" s="71"/>
      <c r="L32" s="71"/>
      <c r="M32" s="71"/>
      <c r="N32" s="71"/>
      <c r="O32" s="71"/>
      <c r="P32" s="9"/>
      <c r="Q32" s="9"/>
      <c r="R32" s="9"/>
      <c r="S32" s="9"/>
      <c r="T32" s="9"/>
      <c r="U32" s="9"/>
      <c r="V32" s="9"/>
      <c r="W32" s="9"/>
      <c r="X32" s="9"/>
      <c r="Y32" s="9"/>
      <c r="Z32" s="9"/>
      <c r="AA32" s="9"/>
      <c r="AB32" s="9"/>
      <c r="AC32" s="9"/>
      <c r="AD32" s="9"/>
      <c r="AE32" s="9"/>
      <c r="AF32" s="9"/>
      <c r="AG32" s="9"/>
      <c r="AH32" s="9"/>
      <c r="AI32" s="9"/>
      <c r="AJ32" s="9"/>
      <c r="AK32" s="9"/>
      <c r="AL32" s="9"/>
      <c r="AM32" s="183"/>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61"/>
      <c r="DA32" s="61"/>
      <c r="DB32" s="61"/>
      <c r="DC32" s="9"/>
      <c r="DD32" s="9"/>
      <c r="DE32" s="9"/>
      <c r="DF32" s="9"/>
      <c r="DG32" s="9"/>
      <c r="DH32" s="9"/>
      <c r="DI32" s="61"/>
      <c r="DJ32" s="61"/>
      <c r="DK32" s="61"/>
      <c r="DL32" s="61"/>
      <c r="DM32" s="61"/>
      <c r="DN32" s="61"/>
      <c r="DO32" s="9"/>
      <c r="DP32" s="9"/>
      <c r="DQ32" s="9"/>
      <c r="DR32" s="9"/>
      <c r="DS32" s="9"/>
      <c r="DT32" s="9"/>
      <c r="DU32" s="61"/>
      <c r="DV32" s="61"/>
      <c r="DW32" s="61"/>
      <c r="DX32" s="9"/>
      <c r="DY32" s="9"/>
      <c r="DZ32" s="9"/>
      <c r="EA32" s="9"/>
      <c r="EB32" s="9"/>
      <c r="EC32" s="9"/>
      <c r="ED32" s="9"/>
      <c r="EE32" s="68"/>
      <c r="EF32" s="68"/>
      <c r="EG32" s="68"/>
      <c r="EH32" s="68"/>
      <c r="EI32" s="68"/>
      <c r="EJ32" s="20"/>
      <c r="EK32" s="20"/>
      <c r="EL32" s="20"/>
      <c r="EM32" s="20"/>
      <c r="EN32" s="20"/>
      <c r="EO32" s="20"/>
      <c r="EP32" s="20"/>
      <c r="EQ32" s="20"/>
      <c r="ER32" s="20"/>
      <c r="ES32" s="20"/>
      <c r="ET32" s="20"/>
      <c r="EU32" s="20"/>
    </row>
    <row r="33" spans="1:152" ht="15" hidden="1" customHeight="1" x14ac:dyDescent="0.25">
      <c r="A33" s="28">
        <v>11</v>
      </c>
      <c r="B33" s="228" t="s">
        <v>22</v>
      </c>
      <c r="C33" s="228"/>
      <c r="D33" s="228"/>
      <c r="E33" s="228"/>
      <c r="F33" s="228"/>
      <c r="G33" s="228"/>
      <c r="H33" s="228"/>
      <c r="I33" s="228"/>
      <c r="J33" s="228"/>
      <c r="K33" s="228"/>
      <c r="L33" s="228"/>
      <c r="M33" s="228"/>
      <c r="N33" s="228"/>
      <c r="O33" s="228"/>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83"/>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9"/>
      <c r="CX33" s="9"/>
      <c r="CY33" s="9"/>
      <c r="CZ33" s="61">
        <v>0</v>
      </c>
      <c r="DA33" s="61">
        <v>0</v>
      </c>
      <c r="DB33" s="61">
        <f>SUM(DC33-10234)</f>
        <v>-0.45999999999912689</v>
      </c>
      <c r="DC33" s="61">
        <f t="shared" ref="DC33:ED33" si="15">$EU$33</f>
        <v>10233.540000000001</v>
      </c>
      <c r="DD33" s="61">
        <f t="shared" si="15"/>
        <v>10233.540000000001</v>
      </c>
      <c r="DE33" s="61">
        <f t="shared" si="15"/>
        <v>10233.540000000001</v>
      </c>
      <c r="DF33" s="61">
        <f t="shared" si="15"/>
        <v>10233.540000000001</v>
      </c>
      <c r="DG33" s="61">
        <f t="shared" si="15"/>
        <v>10233.540000000001</v>
      </c>
      <c r="DH33" s="61">
        <f t="shared" si="15"/>
        <v>10233.540000000001</v>
      </c>
      <c r="DI33" s="61">
        <f t="shared" si="15"/>
        <v>10233.540000000001</v>
      </c>
      <c r="DJ33" s="61">
        <f t="shared" si="15"/>
        <v>10233.540000000001</v>
      </c>
      <c r="DK33" s="61">
        <f t="shared" si="15"/>
        <v>10233.540000000001</v>
      </c>
      <c r="DL33" s="61">
        <f t="shared" si="15"/>
        <v>10233.540000000001</v>
      </c>
      <c r="DM33" s="61">
        <f t="shared" si="15"/>
        <v>10233.540000000001</v>
      </c>
      <c r="DN33" s="61">
        <f t="shared" si="15"/>
        <v>10233.540000000001</v>
      </c>
      <c r="DO33" s="61">
        <f t="shared" si="15"/>
        <v>10233.540000000001</v>
      </c>
      <c r="DP33" s="61">
        <f t="shared" si="15"/>
        <v>10233.540000000001</v>
      </c>
      <c r="DQ33" s="61">
        <f t="shared" si="15"/>
        <v>10233.540000000001</v>
      </c>
      <c r="DR33" s="57">
        <f t="shared" si="15"/>
        <v>10233.540000000001</v>
      </c>
      <c r="DS33" s="57">
        <f t="shared" si="15"/>
        <v>10233.540000000001</v>
      </c>
      <c r="DT33" s="57">
        <f t="shared" si="15"/>
        <v>10233.540000000001</v>
      </c>
      <c r="DU33" s="57">
        <f t="shared" si="15"/>
        <v>10233.540000000001</v>
      </c>
      <c r="DV33" s="57">
        <f t="shared" si="15"/>
        <v>10233.540000000001</v>
      </c>
      <c r="DW33" s="57">
        <f t="shared" si="15"/>
        <v>10233.540000000001</v>
      </c>
      <c r="DX33" s="57">
        <f t="shared" si="15"/>
        <v>10233.540000000001</v>
      </c>
      <c r="DY33" s="57">
        <f t="shared" si="15"/>
        <v>10233.540000000001</v>
      </c>
      <c r="DZ33" s="57">
        <f t="shared" si="15"/>
        <v>10233.540000000001</v>
      </c>
      <c r="EA33" s="57">
        <f t="shared" si="15"/>
        <v>10233.540000000001</v>
      </c>
      <c r="EB33" s="57">
        <f t="shared" si="15"/>
        <v>10233.540000000001</v>
      </c>
      <c r="EC33" s="57">
        <f t="shared" si="15"/>
        <v>10233.540000000001</v>
      </c>
      <c r="ED33" s="57">
        <f t="shared" si="15"/>
        <v>10233.540000000001</v>
      </c>
      <c r="EE33" s="68">
        <f t="shared" ref="EE33:EN33" si="16">$EU$33</f>
        <v>10233.540000000001</v>
      </c>
      <c r="EF33" s="68">
        <f t="shared" si="16"/>
        <v>10233.540000000001</v>
      </c>
      <c r="EG33" s="68">
        <f t="shared" si="16"/>
        <v>10233.540000000001</v>
      </c>
      <c r="EH33" s="68">
        <f t="shared" si="16"/>
        <v>10233.540000000001</v>
      </c>
      <c r="EI33" s="68">
        <f t="shared" si="16"/>
        <v>10233.540000000001</v>
      </c>
      <c r="EJ33" s="20">
        <f t="shared" si="16"/>
        <v>10233.540000000001</v>
      </c>
      <c r="EK33" s="20">
        <f t="shared" si="16"/>
        <v>10233.540000000001</v>
      </c>
      <c r="EL33" s="20">
        <f t="shared" si="16"/>
        <v>10233.540000000001</v>
      </c>
      <c r="EM33" s="20">
        <f t="shared" si="16"/>
        <v>10233.540000000001</v>
      </c>
      <c r="EN33" s="20">
        <f t="shared" si="16"/>
        <v>10233.540000000001</v>
      </c>
      <c r="EO33" s="20">
        <f t="shared" ref="EO33:ET33" si="17">$EU$33</f>
        <v>10233.540000000001</v>
      </c>
      <c r="EP33" s="20">
        <f t="shared" si="17"/>
        <v>10233.540000000001</v>
      </c>
      <c r="EQ33" s="20">
        <f t="shared" si="17"/>
        <v>10233.540000000001</v>
      </c>
      <c r="ER33" s="20">
        <f t="shared" si="17"/>
        <v>10233.540000000001</v>
      </c>
      <c r="ES33" s="20">
        <f t="shared" si="17"/>
        <v>10233.540000000001</v>
      </c>
      <c r="ET33" s="20">
        <f t="shared" si="17"/>
        <v>10233.540000000001</v>
      </c>
      <c r="EU33" s="20">
        <v>10233.540000000001</v>
      </c>
      <c r="EV33" s="36" t="s">
        <v>19</v>
      </c>
    </row>
    <row r="34" spans="1:152" ht="15" hidden="1" customHeight="1" x14ac:dyDescent="0.25">
      <c r="A34" s="28"/>
      <c r="B34" s="114"/>
      <c r="C34" s="114"/>
      <c r="D34" s="114"/>
      <c r="E34" s="114"/>
      <c r="F34" s="114"/>
      <c r="G34" s="114"/>
      <c r="H34" s="114"/>
      <c r="I34" s="114"/>
      <c r="J34" s="114"/>
      <c r="K34" s="114"/>
      <c r="L34" s="114"/>
      <c r="M34" s="114"/>
      <c r="N34" s="114"/>
      <c r="O34" s="114"/>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3"/>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192"/>
      <c r="CV34" s="192"/>
      <c r="CW34" s="9"/>
      <c r="CX34" s="9"/>
      <c r="CY34" s="9"/>
      <c r="CZ34" s="61"/>
      <c r="DA34" s="61"/>
      <c r="DB34" s="61"/>
      <c r="DC34" s="61"/>
      <c r="DD34" s="61"/>
      <c r="DE34" s="61"/>
      <c r="DF34" s="61"/>
      <c r="DG34" s="61"/>
      <c r="DH34" s="61"/>
      <c r="DI34" s="61"/>
      <c r="DJ34" s="61"/>
      <c r="DK34" s="61"/>
      <c r="DL34" s="61"/>
      <c r="DM34" s="61"/>
      <c r="DN34" s="61"/>
      <c r="DO34" s="61"/>
      <c r="DP34" s="61"/>
      <c r="DQ34" s="61"/>
      <c r="DR34" s="57"/>
      <c r="DS34" s="57"/>
      <c r="DT34" s="57"/>
      <c r="DU34" s="57"/>
      <c r="DV34" s="57"/>
      <c r="DW34" s="57"/>
      <c r="DX34" s="57"/>
      <c r="DY34" s="57"/>
      <c r="DZ34" s="57"/>
      <c r="EA34" s="57"/>
      <c r="EB34" s="57"/>
      <c r="EC34" s="57"/>
      <c r="ED34" s="57"/>
      <c r="EE34" s="68"/>
      <c r="EF34" s="68"/>
      <c r="EG34" s="68"/>
      <c r="EH34" s="68"/>
      <c r="EI34" s="68"/>
      <c r="EJ34" s="20"/>
      <c r="EK34" s="20"/>
      <c r="EL34" s="20"/>
      <c r="EM34" s="20"/>
      <c r="EN34" s="20"/>
      <c r="EO34" s="20"/>
      <c r="EP34" s="20"/>
      <c r="EQ34" s="20"/>
      <c r="ER34" s="20"/>
      <c r="ES34" s="20"/>
      <c r="ET34" s="20"/>
      <c r="EU34" s="20"/>
      <c r="EV34" s="36"/>
    </row>
    <row r="35" spans="1:152" ht="15" hidden="1" customHeight="1" x14ac:dyDescent="0.25">
      <c r="A35" s="28">
        <v>10</v>
      </c>
      <c r="B35" s="229" t="s">
        <v>43</v>
      </c>
      <c r="C35" s="229"/>
      <c r="D35" s="229"/>
      <c r="E35" s="229"/>
      <c r="F35" s="229"/>
      <c r="G35" s="229"/>
      <c r="H35" s="229"/>
      <c r="I35" s="229"/>
      <c r="J35" s="229"/>
      <c r="K35" s="229"/>
      <c r="L35" s="229"/>
      <c r="M35" s="229"/>
      <c r="N35" s="229"/>
      <c r="O35" s="229"/>
      <c r="P35" s="40"/>
      <c r="Q35" s="40"/>
      <c r="R35" s="40"/>
      <c r="S35" s="40"/>
      <c r="T35" s="195">
        <v>0</v>
      </c>
      <c r="U35" s="195">
        <v>0</v>
      </c>
      <c r="V35" s="195">
        <v>0</v>
      </c>
      <c r="W35" s="195">
        <v>0</v>
      </c>
      <c r="X35" s="195">
        <v>0</v>
      </c>
      <c r="Y35" s="195">
        <v>0</v>
      </c>
      <c r="Z35" s="195">
        <v>0</v>
      </c>
      <c r="AA35" s="195">
        <v>0</v>
      </c>
      <c r="AB35" s="195">
        <v>0</v>
      </c>
      <c r="AC35" s="195">
        <v>0</v>
      </c>
      <c r="AD35" s="195">
        <v>0</v>
      </c>
      <c r="AE35" s="195">
        <v>0</v>
      </c>
      <c r="AF35" s="97">
        <v>0</v>
      </c>
      <c r="AG35" s="97">
        <f>AJ35</f>
        <v>192884000</v>
      </c>
      <c r="AH35" s="97">
        <f>AJ35</f>
        <v>192884000</v>
      </c>
      <c r="AI35" s="97">
        <f>AJ35</f>
        <v>192884000</v>
      </c>
      <c r="AJ35" s="97">
        <v>192884000</v>
      </c>
      <c r="AK35" s="192"/>
      <c r="AL35" s="192"/>
      <c r="AM35" s="193"/>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192"/>
      <c r="CV35" s="192"/>
      <c r="CW35" s="9"/>
      <c r="CX35" s="9"/>
      <c r="CY35" s="9"/>
      <c r="CZ35" s="61"/>
      <c r="DA35" s="61"/>
      <c r="DB35" s="61"/>
      <c r="DC35" s="61"/>
      <c r="DD35" s="61"/>
      <c r="DE35" s="61"/>
      <c r="DF35" s="61"/>
      <c r="DG35" s="61"/>
      <c r="DH35" s="61"/>
      <c r="DI35" s="61"/>
      <c r="DJ35" s="61"/>
      <c r="DK35" s="61"/>
      <c r="DL35" s="61"/>
      <c r="DM35" s="61"/>
      <c r="DN35" s="61"/>
      <c r="DO35" s="61"/>
      <c r="DP35" s="61"/>
      <c r="DQ35" s="61"/>
      <c r="DR35" s="57"/>
      <c r="DS35" s="57"/>
      <c r="DT35" s="57"/>
      <c r="DU35" s="57"/>
      <c r="DV35" s="57"/>
      <c r="DW35" s="57"/>
      <c r="DX35" s="57"/>
      <c r="DY35" s="57"/>
      <c r="DZ35" s="57"/>
      <c r="EA35" s="57"/>
      <c r="EB35" s="57"/>
      <c r="EC35" s="57"/>
      <c r="ED35" s="57"/>
      <c r="EE35" s="68"/>
      <c r="EF35" s="68"/>
      <c r="EG35" s="68"/>
      <c r="EH35" s="68"/>
      <c r="EI35" s="68"/>
      <c r="EJ35" s="20"/>
      <c r="EK35" s="20"/>
      <c r="EL35" s="20"/>
      <c r="EM35" s="20"/>
      <c r="EN35" s="20"/>
      <c r="EO35" s="20"/>
      <c r="EP35" s="20"/>
      <c r="EQ35" s="20"/>
      <c r="ER35" s="20"/>
      <c r="ES35" s="20"/>
      <c r="ET35" s="20"/>
      <c r="EU35" s="20"/>
      <c r="EV35" s="36"/>
    </row>
    <row r="36" spans="1:152" ht="15" customHeight="1" x14ac:dyDescent="0.25">
      <c r="A36" s="28"/>
      <c r="B36" s="230"/>
      <c r="C36" s="230"/>
      <c r="D36" s="230"/>
      <c r="E36" s="230"/>
      <c r="F36" s="230"/>
      <c r="G36" s="230"/>
      <c r="H36" s="230"/>
      <c r="I36" s="230"/>
      <c r="J36" s="230"/>
      <c r="K36" s="230"/>
      <c r="L36" s="230"/>
      <c r="M36" s="230"/>
      <c r="N36" s="230"/>
      <c r="O36" s="230"/>
      <c r="P36" s="34"/>
      <c r="Q36" s="34"/>
      <c r="R36" s="34"/>
      <c r="S36" s="34"/>
      <c r="T36" s="34"/>
      <c r="U36" s="34"/>
      <c r="V36" s="34"/>
      <c r="W36" s="34"/>
      <c r="X36" s="34"/>
      <c r="Y36" s="34"/>
      <c r="Z36" s="34"/>
      <c r="AA36" s="34" t="s">
        <v>23</v>
      </c>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87"/>
      <c r="DA36" s="87"/>
      <c r="DB36" s="87"/>
      <c r="DC36" s="34"/>
      <c r="DD36" s="34"/>
      <c r="DE36" s="34"/>
      <c r="DF36" s="34"/>
      <c r="DG36" s="34"/>
      <c r="DH36" s="34"/>
      <c r="DI36" s="87"/>
      <c r="DJ36" s="87"/>
      <c r="DK36" s="87"/>
      <c r="DL36" s="87"/>
      <c r="DM36" s="87"/>
      <c r="DN36" s="87"/>
      <c r="DO36" s="34"/>
      <c r="DP36" s="34"/>
      <c r="DQ36" s="34"/>
      <c r="DR36" s="34"/>
      <c r="DS36" s="34"/>
      <c r="DT36" s="34"/>
      <c r="DU36" s="87"/>
      <c r="DV36" s="87"/>
      <c r="DW36" s="87"/>
      <c r="DX36" s="34"/>
      <c r="DY36" s="34"/>
      <c r="DZ36" s="34"/>
      <c r="EA36" s="34"/>
      <c r="EB36" s="34"/>
      <c r="EC36" s="34"/>
      <c r="ED36" s="37"/>
      <c r="EE36" s="34"/>
      <c r="EF36" s="34"/>
      <c r="EG36" s="69"/>
      <c r="EH36" s="69"/>
      <c r="EI36" s="69"/>
      <c r="EJ36" s="21"/>
      <c r="EK36" s="21"/>
      <c r="EL36" s="21"/>
      <c r="EM36" s="21"/>
      <c r="EN36" s="21"/>
      <c r="EO36" s="21"/>
      <c r="EP36" s="21"/>
      <c r="EQ36" s="21"/>
      <c r="ER36" s="21"/>
      <c r="ES36" s="21"/>
      <c r="ET36" s="21"/>
      <c r="EU36" s="21"/>
    </row>
    <row r="37" spans="1:152" ht="33.75" hidden="1" customHeight="1" thickBot="1" x14ac:dyDescent="0.3">
      <c r="A37" s="28">
        <v>11</v>
      </c>
      <c r="B37" s="191" t="s">
        <v>41</v>
      </c>
      <c r="C37" s="191"/>
      <c r="D37" s="191"/>
      <c r="E37" s="191"/>
      <c r="F37" s="191"/>
      <c r="G37" s="191"/>
      <c r="H37" s="191"/>
      <c r="I37" s="191"/>
      <c r="J37" s="191"/>
      <c r="K37" s="191"/>
      <c r="L37" s="191"/>
      <c r="M37" s="191"/>
      <c r="N37" s="191"/>
      <c r="O37" s="191"/>
      <c r="P37" s="191"/>
      <c r="Q37" s="191"/>
      <c r="R37" s="191"/>
      <c r="S37" s="191"/>
      <c r="T37" s="221">
        <f>T8-T19-T21</f>
        <v>94338664.910000026</v>
      </c>
      <c r="U37" s="220">
        <v>0</v>
      </c>
      <c r="V37" s="220">
        <v>0</v>
      </c>
      <c r="W37" s="220">
        <v>0</v>
      </c>
      <c r="X37" s="220">
        <v>0</v>
      </c>
      <c r="Y37" s="220">
        <v>0</v>
      </c>
      <c r="Z37" s="220">
        <v>0</v>
      </c>
      <c r="AA37" s="220">
        <v>0</v>
      </c>
      <c r="AB37" s="220">
        <v>0</v>
      </c>
      <c r="AC37" s="220">
        <v>0</v>
      </c>
      <c r="AD37" s="220">
        <v>0</v>
      </c>
      <c r="AE37" s="220">
        <v>0</v>
      </c>
      <c r="AF37" s="189">
        <v>7150191.3399999999</v>
      </c>
      <c r="AG37" s="163"/>
      <c r="AH37" s="163"/>
      <c r="AI37" s="163"/>
      <c r="AJ37" s="163"/>
      <c r="AK37" s="163"/>
      <c r="AL37" s="163"/>
      <c r="AM37" s="163"/>
      <c r="AN37" s="163"/>
      <c r="AO37" s="163"/>
      <c r="AP37" s="163"/>
      <c r="AQ37" s="163"/>
      <c r="AR37" s="173">
        <v>16557826.869999999</v>
      </c>
      <c r="AS37" s="163"/>
      <c r="AT37" s="163"/>
      <c r="AU37" s="163"/>
      <c r="AV37" s="163"/>
      <c r="AW37" s="163"/>
      <c r="AX37" s="163"/>
      <c r="AY37" s="163"/>
      <c r="AZ37" s="163"/>
      <c r="BA37" s="163"/>
      <c r="BB37" s="163"/>
      <c r="BC37" s="163"/>
      <c r="BD37" s="159">
        <v>14769937.26</v>
      </c>
      <c r="BE37" s="160"/>
      <c r="BF37" s="160"/>
      <c r="BG37" s="160"/>
      <c r="BH37" s="160"/>
      <c r="BI37" s="160"/>
      <c r="BJ37" s="160"/>
      <c r="BK37" s="160"/>
      <c r="BL37" s="160"/>
      <c r="BM37" s="159">
        <v>0</v>
      </c>
      <c r="BN37" s="159">
        <v>0</v>
      </c>
      <c r="BO37" s="159">
        <v>0</v>
      </c>
      <c r="BP37" s="142">
        <v>11984951.949999999</v>
      </c>
      <c r="BQ37" s="142">
        <f>BR37</f>
        <v>0</v>
      </c>
      <c r="BR37" s="142">
        <v>0</v>
      </c>
      <c r="BS37" s="142">
        <f>0</f>
        <v>0</v>
      </c>
      <c r="BT37" s="142">
        <f>BY37</f>
        <v>60816650</v>
      </c>
      <c r="BU37" s="142">
        <f>BZ37</f>
        <v>60816650</v>
      </c>
      <c r="BV37" s="142">
        <f>CA37</f>
        <v>60816650</v>
      </c>
      <c r="BW37" s="142">
        <f>CA37</f>
        <v>60816650</v>
      </c>
      <c r="BX37" s="142">
        <f>CA37</f>
        <v>60816650</v>
      </c>
      <c r="BY37" s="142">
        <f>CA37</f>
        <v>60816650</v>
      </c>
      <c r="BZ37" s="142">
        <f>CA37</f>
        <v>60816650</v>
      </c>
      <c r="CA37" s="142">
        <f>SUM('[118]Gov''s Intro. Budg. - Dec. 2011'!$K$26:$K$30)*-1</f>
        <v>60816650</v>
      </c>
      <c r="CB37" s="76">
        <f>CM37</f>
        <v>62807677.5</v>
      </c>
      <c r="CC37" s="76">
        <f>CM37</f>
        <v>62807677.5</v>
      </c>
      <c r="CD37" s="76">
        <f>CM37</f>
        <v>62807677.5</v>
      </c>
      <c r="CE37" s="76">
        <f>CM37</f>
        <v>62807677.5</v>
      </c>
      <c r="CF37" s="76">
        <f>CM37</f>
        <v>62807677.5</v>
      </c>
      <c r="CG37" s="76">
        <f>CM37</f>
        <v>62807677.5</v>
      </c>
      <c r="CH37" s="76">
        <f>CM37</f>
        <v>62807677.5</v>
      </c>
      <c r="CI37" s="76">
        <f>CM37</f>
        <v>62807677.5</v>
      </c>
      <c r="CJ37" s="76">
        <f>CM37</f>
        <v>62807677.5</v>
      </c>
      <c r="CK37" s="76">
        <f>CM37</f>
        <v>62807677.5</v>
      </c>
      <c r="CL37" s="76">
        <f>CM37</f>
        <v>62807677.5</v>
      </c>
      <c r="CM37" s="76">
        <f>SUM('[107]Gov''s Intro. Budg. - Dec. 2010'!$J$25:$J$29)*-1</f>
        <v>62807677.5</v>
      </c>
      <c r="CN37" s="76">
        <f>'[119]note ds summary'!$Q$17</f>
        <v>63510236.109999903</v>
      </c>
      <c r="CO37" s="76">
        <f>'[120]note ds summary'!$Q$17</f>
        <v>63624637.5</v>
      </c>
      <c r="CP37" s="76">
        <f>'[120]note ds summary'!$Q$17</f>
        <v>63624637.5</v>
      </c>
      <c r="CQ37" s="76">
        <f>'[120]note ds summary'!$Q$17</f>
        <v>63624637.5</v>
      </c>
      <c r="CR37" s="76">
        <f>'[120]note ds summary'!$Q$17</f>
        <v>63624637.5</v>
      </c>
      <c r="CS37" s="76">
        <f>'[120]note ds summary'!$Q$17</f>
        <v>63624637.5</v>
      </c>
      <c r="CT37" s="76">
        <f>'[120]note ds summary'!$Q$17</f>
        <v>63624637.5</v>
      </c>
      <c r="CU37" s="76">
        <f>'[120]note ds summary'!$Q$17</f>
        <v>63624637.5</v>
      </c>
      <c r="CV37" s="76">
        <f>'[120]note ds summary'!$Q$17</f>
        <v>63624637.5</v>
      </c>
      <c r="CW37" s="127">
        <f>'[120]note ds summary'!$Q$17</f>
        <v>63624637.5</v>
      </c>
      <c r="CX37" s="76">
        <f>-SUM('[121]Gov''s Intro. Budg. - Dec. 2009'!$H$22:$H$26)</f>
        <v>65297635</v>
      </c>
      <c r="CY37" s="76">
        <f>-SUM('[121]Gov''s Intro. Budg. - Dec. 2009'!$H$22:$H$26)</f>
        <v>65297635</v>
      </c>
      <c r="CZ37" s="76">
        <f>DK37</f>
        <v>64469470</v>
      </c>
      <c r="DA37" s="76">
        <f>DK37</f>
        <v>64469470</v>
      </c>
      <c r="DB37" s="76">
        <f>DK37</f>
        <v>64469470</v>
      </c>
      <c r="DC37" s="76">
        <f>DK37</f>
        <v>64469470</v>
      </c>
      <c r="DD37" s="76">
        <f>DK37</f>
        <v>64469470</v>
      </c>
      <c r="DE37" s="76">
        <f>DK37</f>
        <v>64469470</v>
      </c>
      <c r="DF37" s="76">
        <f>DK37</f>
        <v>64469470</v>
      </c>
      <c r="DG37" s="76">
        <f>DK37</f>
        <v>64469470</v>
      </c>
      <c r="DH37" s="76">
        <f>DK37</f>
        <v>64469470</v>
      </c>
      <c r="DI37" s="76">
        <f>DK37</f>
        <v>64469470</v>
      </c>
      <c r="DJ37" s="76">
        <f>DK37</f>
        <v>64469470</v>
      </c>
      <c r="DK37" s="76">
        <f>-SUM('[122]Gov''s Intro. Budg. - Dec. 2008'!$G$21:$G$25)</f>
        <v>64469470</v>
      </c>
      <c r="DL37" s="76">
        <f>DO37</f>
        <v>64582337.5</v>
      </c>
      <c r="DM37" s="76">
        <f>DP37</f>
        <v>64582337.5</v>
      </c>
      <c r="DN37" s="76">
        <f>DQ37</f>
        <v>64582337.5</v>
      </c>
      <c r="DO37" s="76">
        <f>DR37</f>
        <v>64582337.5</v>
      </c>
      <c r="DP37" s="76">
        <f>DR37</f>
        <v>64582337.5</v>
      </c>
      <c r="DQ37" s="76">
        <f>DR37</f>
        <v>64582337.5</v>
      </c>
      <c r="DR37" s="76">
        <f>-SUM('[112]Gov''s Intro. Budg. - Dec. 2007'!$G$21:$G$25)</f>
        <v>64582337.5</v>
      </c>
      <c r="DS37" s="76">
        <f>DS21</f>
        <v>60001254</v>
      </c>
      <c r="DT37" s="76">
        <f>DT21</f>
        <v>60001254</v>
      </c>
      <c r="DU37" s="76">
        <f>DU21</f>
        <v>63784682</v>
      </c>
      <c r="DV37" s="76">
        <f>DV21</f>
        <v>63784682</v>
      </c>
      <c r="DW37" s="76">
        <f>DW21</f>
        <v>63784682</v>
      </c>
      <c r="DX37" s="84">
        <v>65000000</v>
      </c>
      <c r="DY37" s="76">
        <f>EB37</f>
        <v>83073136.283902943</v>
      </c>
      <c r="DZ37" s="76">
        <f>EC37</f>
        <v>83073136.283902943</v>
      </c>
      <c r="EA37" s="76">
        <f>ED37</f>
        <v>83073136.283902943</v>
      </c>
      <c r="EB37" s="76">
        <f>ED37</f>
        <v>83073136.283902943</v>
      </c>
      <c r="EC37" s="75">
        <f>ED37</f>
        <v>83073136.283902943</v>
      </c>
      <c r="ED37" s="75">
        <f>EF37</f>
        <v>83073136.283902943</v>
      </c>
      <c r="EE37" s="65">
        <f>'[123]Gov''s Dec .2006 Budget'!$E$37</f>
        <v>83073136.283902943</v>
      </c>
      <c r="EF37" s="65">
        <f>'[123]Gov''s Dec .2006 Budget'!$E$37</f>
        <v>83073136.283902943</v>
      </c>
      <c r="EG37" s="65">
        <f>'[123]Gov''s Dec .2006 Budget'!$E$37</f>
        <v>83073136.283902943</v>
      </c>
      <c r="EH37" s="65">
        <f>'[123]Gov''s Dec .2006 Budget'!$E$37</f>
        <v>83073136.283902943</v>
      </c>
      <c r="EI37" s="65">
        <f>'[123]Gov''s Dec .2006 Budget'!$E$37</f>
        <v>83073136.283902943</v>
      </c>
      <c r="EJ37" s="65">
        <f>'[124]Updated for Chapter 3'!$D$37</f>
        <v>78407027.219999969</v>
      </c>
      <c r="EK37" s="29">
        <v>61183377</v>
      </c>
      <c r="EL37" s="29">
        <v>61183377</v>
      </c>
      <c r="EM37" s="29">
        <v>61183377</v>
      </c>
      <c r="EN37" s="29">
        <v>61183377</v>
      </c>
      <c r="EO37" s="29">
        <v>61183377</v>
      </c>
      <c r="EP37" s="29">
        <v>61183377</v>
      </c>
      <c r="EQ37" s="29">
        <v>61183377</v>
      </c>
      <c r="ER37" s="29">
        <v>61183377</v>
      </c>
      <c r="ES37" s="29">
        <v>61183377</v>
      </c>
      <c r="ET37" s="29">
        <v>61183377</v>
      </c>
      <c r="EU37" s="29">
        <v>61183377</v>
      </c>
      <c r="EV37" s="2" t="s">
        <v>18</v>
      </c>
    </row>
    <row r="38" spans="1:152" ht="15" hidden="1" customHeight="1" thickTop="1" x14ac:dyDescent="0.25">
      <c r="A38" s="28"/>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87"/>
      <c r="DA38" s="87"/>
      <c r="DB38" s="87"/>
      <c r="DC38" s="34"/>
      <c r="DD38" s="34"/>
      <c r="DE38" s="34"/>
      <c r="DF38" s="34"/>
      <c r="DG38" s="34"/>
      <c r="DH38" s="34"/>
      <c r="DI38" s="87"/>
      <c r="DJ38" s="87"/>
      <c r="DK38" s="87"/>
      <c r="DL38" s="87"/>
      <c r="DM38" s="87"/>
      <c r="DN38" s="87"/>
      <c r="DO38" s="34"/>
      <c r="DP38" s="34"/>
      <c r="DQ38" s="34"/>
      <c r="DR38" s="87"/>
      <c r="DS38" s="34"/>
      <c r="DT38" s="34"/>
      <c r="DU38" s="87"/>
      <c r="DV38" s="87"/>
      <c r="DW38" s="87"/>
      <c r="DX38" s="34"/>
      <c r="DY38" s="34"/>
      <c r="DZ38" s="34"/>
      <c r="EA38" s="34"/>
      <c r="EB38" s="34"/>
      <c r="EC38" s="34"/>
      <c r="ED38" s="68"/>
      <c r="EE38" s="34"/>
      <c r="EF38" s="34"/>
      <c r="EG38" s="21"/>
      <c r="EH38" s="21"/>
      <c r="EI38" s="21"/>
      <c r="EJ38" s="21"/>
      <c r="EK38" s="21"/>
      <c r="EL38" s="21"/>
      <c r="EM38" s="21"/>
      <c r="EN38" s="21"/>
      <c r="EO38" s="21"/>
      <c r="EP38" s="21"/>
      <c r="EQ38" s="21"/>
      <c r="ER38" s="21"/>
      <c r="ES38" s="21"/>
      <c r="ET38" s="21"/>
      <c r="EU38" s="21"/>
    </row>
    <row r="39" spans="1:152" ht="31.5" x14ac:dyDescent="0.25">
      <c r="A39" s="28">
        <v>11</v>
      </c>
      <c r="B39" s="237" t="s">
        <v>49</v>
      </c>
      <c r="C39" s="87">
        <v>0</v>
      </c>
      <c r="D39" s="87">
        <v>0</v>
      </c>
      <c r="E39" s="87">
        <v>0</v>
      </c>
      <c r="F39" s="87">
        <f>F8-F19</f>
        <v>87634055.000000015</v>
      </c>
      <c r="G39" s="87">
        <v>0</v>
      </c>
      <c r="H39" s="87">
        <v>0</v>
      </c>
      <c r="I39" s="87">
        <v>0</v>
      </c>
      <c r="J39" s="87">
        <f>J8-J19</f>
        <v>71370778.060000017</v>
      </c>
      <c r="K39" s="87">
        <v>0</v>
      </c>
      <c r="L39" s="87">
        <v>0</v>
      </c>
      <c r="M39" s="87">
        <v>0</v>
      </c>
      <c r="N39" s="87">
        <f>N8-N19</f>
        <v>70396919.060000017</v>
      </c>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87"/>
      <c r="DA39" s="87"/>
      <c r="DB39" s="87"/>
      <c r="DC39" s="34"/>
      <c r="DD39" s="34"/>
      <c r="DE39" s="34"/>
      <c r="DF39" s="34"/>
      <c r="DG39" s="34"/>
      <c r="DH39" s="34"/>
      <c r="DI39" s="87"/>
      <c r="DJ39" s="87"/>
      <c r="DK39" s="87"/>
      <c r="DL39" s="87"/>
      <c r="DM39" s="87"/>
      <c r="DN39" s="87"/>
      <c r="DO39" s="34"/>
      <c r="DP39" s="34"/>
      <c r="DQ39" s="34"/>
      <c r="DR39" s="87"/>
      <c r="DS39" s="34"/>
      <c r="DT39" s="34"/>
      <c r="DU39" s="87"/>
      <c r="DV39" s="87"/>
      <c r="DW39" s="87"/>
      <c r="DX39" s="34"/>
      <c r="DY39" s="34"/>
      <c r="DZ39" s="34"/>
      <c r="EA39" s="34"/>
      <c r="EB39" s="34"/>
      <c r="EC39" s="34"/>
      <c r="ED39" s="233"/>
      <c r="EE39" s="34"/>
      <c r="EF39" s="34"/>
      <c r="EG39" s="232"/>
      <c r="EH39" s="232"/>
      <c r="EI39" s="232"/>
      <c r="EJ39" s="232"/>
      <c r="EK39" s="232"/>
      <c r="EL39" s="232"/>
      <c r="EM39" s="232"/>
      <c r="EN39" s="232"/>
      <c r="EO39" s="232"/>
      <c r="EP39" s="232"/>
      <c r="EQ39" s="232"/>
      <c r="ER39" s="232"/>
      <c r="ES39" s="232"/>
      <c r="ET39" s="232"/>
      <c r="EU39" s="232"/>
    </row>
    <row r="40" spans="1:152" ht="15" customHeight="1" x14ac:dyDescent="0.25">
      <c r="A40" s="28"/>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87"/>
      <c r="DA40" s="87"/>
      <c r="DB40" s="87"/>
      <c r="DC40" s="34"/>
      <c r="DD40" s="34"/>
      <c r="DE40" s="34"/>
      <c r="DF40" s="34"/>
      <c r="DG40" s="34"/>
      <c r="DH40" s="34"/>
      <c r="DI40" s="87"/>
      <c r="DJ40" s="87"/>
      <c r="DK40" s="87"/>
      <c r="DL40" s="87"/>
      <c r="DM40" s="87"/>
      <c r="DN40" s="87"/>
      <c r="DO40" s="34"/>
      <c r="DP40" s="34"/>
      <c r="DQ40" s="34"/>
      <c r="DR40" s="87"/>
      <c r="DS40" s="34"/>
      <c r="DT40" s="34"/>
      <c r="DU40" s="87"/>
      <c r="DV40" s="87"/>
      <c r="DW40" s="87"/>
      <c r="DX40" s="34"/>
      <c r="DY40" s="34"/>
      <c r="DZ40" s="34"/>
      <c r="EA40" s="34"/>
      <c r="EB40" s="34"/>
      <c r="EC40" s="34"/>
      <c r="ED40" s="233"/>
      <c r="EE40" s="34"/>
      <c r="EF40" s="34"/>
      <c r="EG40" s="232"/>
      <c r="EH40" s="232"/>
      <c r="EI40" s="232"/>
      <c r="EJ40" s="232"/>
      <c r="EK40" s="232"/>
      <c r="EL40" s="232"/>
      <c r="EM40" s="232"/>
      <c r="EN40" s="232"/>
      <c r="EO40" s="232"/>
      <c r="EP40" s="232"/>
      <c r="EQ40" s="232"/>
      <c r="ER40" s="232"/>
      <c r="ES40" s="232"/>
      <c r="ET40" s="232"/>
      <c r="EU40" s="232"/>
    </row>
    <row r="41" spans="1:152" ht="15.75" x14ac:dyDescent="0.25">
      <c r="A41" s="28">
        <v>12</v>
      </c>
      <c r="B41" s="8" t="s">
        <v>31</v>
      </c>
      <c r="C41" s="70">
        <f t="shared" ref="C41:N41" si="18">SUM(C19:C39)</f>
        <v>204631562.61000001</v>
      </c>
      <c r="D41" s="70">
        <f t="shared" si="18"/>
        <v>204631562.61000001</v>
      </c>
      <c r="E41" s="70">
        <f t="shared" si="18"/>
        <v>216575964</v>
      </c>
      <c r="F41" s="70">
        <f t="shared" si="18"/>
        <v>95134055</v>
      </c>
      <c r="G41" s="70">
        <f t="shared" si="18"/>
        <v>215408346.25</v>
      </c>
      <c r="H41" s="70">
        <f t="shared" si="18"/>
        <v>222440076.19</v>
      </c>
      <c r="I41" s="70">
        <f t="shared" si="18"/>
        <v>230293717.94</v>
      </c>
      <c r="J41" s="70">
        <f t="shared" si="18"/>
        <v>81655856</v>
      </c>
      <c r="K41" s="70">
        <f t="shared" si="18"/>
        <v>261350344.94</v>
      </c>
      <c r="L41" s="70">
        <f t="shared" si="18"/>
        <v>251979558.93999997</v>
      </c>
      <c r="M41" s="70">
        <f t="shared" si="18"/>
        <v>255453896.94</v>
      </c>
      <c r="N41" s="70">
        <f t="shared" si="18"/>
        <v>71450042</v>
      </c>
      <c r="O41" s="70">
        <f t="shared" ref="O41:T41" si="19">SUM(O19:O38)</f>
        <v>266125716.93999997</v>
      </c>
      <c r="P41" s="70">
        <f t="shared" si="19"/>
        <v>266279702.48999998</v>
      </c>
      <c r="Q41" s="70">
        <f t="shared" si="19"/>
        <v>262036200.08999997</v>
      </c>
      <c r="R41" s="70">
        <f t="shared" si="19"/>
        <v>262036200.08999997</v>
      </c>
      <c r="S41" s="70">
        <f t="shared" si="19"/>
        <v>262036200.08999997</v>
      </c>
      <c r="T41" s="70">
        <f t="shared" si="19"/>
        <v>95546933</v>
      </c>
      <c r="U41" s="70">
        <f t="shared" ref="U41:AB41" si="20">SUM(U19:U38)</f>
        <v>233243685.25999999</v>
      </c>
      <c r="V41" s="70">
        <f t="shared" si="20"/>
        <v>240743685.29999998</v>
      </c>
      <c r="W41" s="70">
        <f t="shared" si="20"/>
        <v>241359537.29999998</v>
      </c>
      <c r="X41" s="70">
        <f t="shared" si="20"/>
        <v>248017364.29999998</v>
      </c>
      <c r="Y41" s="70">
        <f t="shared" si="20"/>
        <v>243872364.29999998</v>
      </c>
      <c r="Z41" s="70">
        <f t="shared" si="20"/>
        <v>228872364.29999998</v>
      </c>
      <c r="AA41" s="212">
        <f t="shared" si="20"/>
        <v>236573152.13</v>
      </c>
      <c r="AB41" s="212">
        <f t="shared" si="20"/>
        <v>229113152.13</v>
      </c>
      <c r="AC41" s="70">
        <f>SUM(AC19:AC37)</f>
        <v>232814410.13</v>
      </c>
      <c r="AD41" s="70">
        <f>SUM(AD19:AD37)</f>
        <v>232814410.13</v>
      </c>
      <c r="AE41" s="70">
        <f>SUM(AE19:AE37)</f>
        <v>232814410.13</v>
      </c>
      <c r="AF41" s="70">
        <f>SUM(AF19:AF37)</f>
        <v>8381628.4699999783</v>
      </c>
      <c r="AG41" s="70">
        <f t="shared" ref="AG41:AN41" si="21">SUM(AG19:AG37)</f>
        <v>376970814.65999997</v>
      </c>
      <c r="AH41" s="70">
        <f t="shared" si="21"/>
        <v>376970814.65999997</v>
      </c>
      <c r="AI41" s="70">
        <f t="shared" si="21"/>
        <v>436047220.65999997</v>
      </c>
      <c r="AJ41" s="70">
        <f t="shared" si="21"/>
        <v>436047220.65999997</v>
      </c>
      <c r="AK41" s="70">
        <f t="shared" si="21"/>
        <v>243163220.65999997</v>
      </c>
      <c r="AL41" s="70">
        <f t="shared" si="21"/>
        <v>218520379.13</v>
      </c>
      <c r="AM41" s="70">
        <f t="shared" si="21"/>
        <v>218520379.13</v>
      </c>
      <c r="AN41" s="70">
        <f t="shared" si="21"/>
        <v>218520379.13</v>
      </c>
      <c r="AO41" s="70">
        <f t="shared" ref="AO41:AT41" si="22">SUM(AO19:AO37)</f>
        <v>207458973.13</v>
      </c>
      <c r="AP41" s="70">
        <f t="shared" si="22"/>
        <v>207526751.13</v>
      </c>
      <c r="AQ41" s="70">
        <f t="shared" si="22"/>
        <v>207590651.13</v>
      </c>
      <c r="AR41" s="70">
        <f t="shared" si="22"/>
        <v>17920941.999999978</v>
      </c>
      <c r="AS41" s="70">
        <f t="shared" si="22"/>
        <v>145801688.12999997</v>
      </c>
      <c r="AT41" s="70">
        <f t="shared" si="22"/>
        <v>148954835.12999997</v>
      </c>
      <c r="AU41" s="70">
        <f t="shared" ref="AU41:AZ41" si="23">SUM(AU19:AU37)</f>
        <v>207188702.13</v>
      </c>
      <c r="AV41" s="70">
        <f t="shared" si="23"/>
        <v>198878753.13</v>
      </c>
      <c r="AW41" s="70">
        <f t="shared" si="23"/>
        <v>198878753.13</v>
      </c>
      <c r="AX41" s="70">
        <f t="shared" si="23"/>
        <v>199587903.63</v>
      </c>
      <c r="AY41" s="70">
        <f t="shared" si="23"/>
        <v>199587903.63</v>
      </c>
      <c r="AZ41" s="70">
        <f t="shared" si="23"/>
        <v>199587903.63</v>
      </c>
      <c r="BA41" s="70">
        <f t="shared" ref="BA41:BF41" si="24">SUM(BA19:BA37)</f>
        <v>199587903.63</v>
      </c>
      <c r="BB41" s="70">
        <f t="shared" si="24"/>
        <v>199587903.63</v>
      </c>
      <c r="BC41" s="70">
        <f t="shared" si="24"/>
        <v>199587903.63</v>
      </c>
      <c r="BD41" s="70">
        <f t="shared" si="24"/>
        <v>16842202.889999978</v>
      </c>
      <c r="BE41" s="70">
        <f t="shared" si="24"/>
        <v>142158693.62999997</v>
      </c>
      <c r="BF41" s="70">
        <f t="shared" si="24"/>
        <v>142158693.62999997</v>
      </c>
      <c r="BG41" s="70">
        <f t="shared" ref="BG41:BM41" si="25">SUM(BG19:BG37)</f>
        <v>199572893.63</v>
      </c>
      <c r="BH41" s="70">
        <f t="shared" si="25"/>
        <v>199572893.63</v>
      </c>
      <c r="BI41" s="70">
        <f t="shared" si="25"/>
        <v>199572893.63</v>
      </c>
      <c r="BJ41" s="70">
        <f t="shared" si="25"/>
        <v>190691063.63</v>
      </c>
      <c r="BK41" s="70">
        <f t="shared" si="25"/>
        <v>190735520.89999998</v>
      </c>
      <c r="BL41" s="70">
        <f t="shared" si="25"/>
        <v>190735520.89999998</v>
      </c>
      <c r="BM41" s="70">
        <f t="shared" si="25"/>
        <v>194019800.89999998</v>
      </c>
      <c r="BN41" s="70">
        <f t="shared" ref="BN41:BS41" si="26">SUM(BN19:BN37)</f>
        <v>194019800.89999998</v>
      </c>
      <c r="BO41" s="70">
        <f t="shared" si="26"/>
        <v>194019800.89999998</v>
      </c>
      <c r="BP41" s="70">
        <f t="shared" si="26"/>
        <v>14101674.859999983</v>
      </c>
      <c r="BQ41" s="70">
        <f t="shared" si="26"/>
        <v>191933350.90999997</v>
      </c>
      <c r="BR41" s="70">
        <f t="shared" si="26"/>
        <v>191933350.90999997</v>
      </c>
      <c r="BS41" s="70">
        <f t="shared" si="26"/>
        <v>192003882.51999998</v>
      </c>
      <c r="BT41" s="70">
        <f t="shared" ref="BT41:CD41" si="27">SUM(BT19:BT37)</f>
        <v>252933362.59999996</v>
      </c>
      <c r="BU41" s="70">
        <f t="shared" si="27"/>
        <v>253001833.69999999</v>
      </c>
      <c r="BV41" s="70">
        <f t="shared" si="27"/>
        <v>253001833.69999999</v>
      </c>
      <c r="BW41" s="70">
        <f t="shared" si="27"/>
        <v>253016715.94</v>
      </c>
      <c r="BX41" s="70">
        <f t="shared" si="27"/>
        <v>253085514.27999997</v>
      </c>
      <c r="BY41" s="70">
        <f t="shared" si="27"/>
        <v>256633624.86999997</v>
      </c>
      <c r="BZ41" s="70">
        <f t="shared" si="27"/>
        <v>257018090.81999999</v>
      </c>
      <c r="CA41" s="70">
        <f t="shared" si="27"/>
        <v>257522008.03999996</v>
      </c>
      <c r="CB41" s="70">
        <f t="shared" si="27"/>
        <v>67064974.619999975</v>
      </c>
      <c r="CC41" s="70">
        <f t="shared" si="27"/>
        <v>206675379.75999999</v>
      </c>
      <c r="CD41" s="70">
        <f t="shared" si="27"/>
        <v>206675379.75999987</v>
      </c>
      <c r="CE41" s="17">
        <f t="shared" ref="CE41:DW41" si="28">SUM(CE19:CE37)</f>
        <v>266478779.7599999</v>
      </c>
      <c r="CF41" s="17">
        <f>SUM(CF19:CF37)</f>
        <v>266520763.70999989</v>
      </c>
      <c r="CG41" s="17">
        <f>SUM(CG19:CG37)</f>
        <v>266520763.70999989</v>
      </c>
      <c r="CH41" s="17">
        <f t="shared" si="28"/>
        <v>266520763.70999989</v>
      </c>
      <c r="CI41" s="17">
        <f>SUM(CI19:CI37)</f>
        <v>272227599.81999987</v>
      </c>
      <c r="CJ41" s="17">
        <f>SUM(CJ19:CJ37)</f>
        <v>272227599.81999987</v>
      </c>
      <c r="CK41" s="17">
        <f t="shared" si="28"/>
        <v>272227599.81999987</v>
      </c>
      <c r="CL41" s="17">
        <f t="shared" si="28"/>
        <v>272227599.81999987</v>
      </c>
      <c r="CM41" s="17">
        <f t="shared" si="28"/>
        <v>272227599.81999987</v>
      </c>
      <c r="CN41" s="17">
        <f t="shared" si="28"/>
        <v>67844922.319999874</v>
      </c>
      <c r="CO41" s="17">
        <f t="shared" si="28"/>
        <v>268616752.70999998</v>
      </c>
      <c r="CP41" s="17">
        <f t="shared" si="28"/>
        <v>271472852.70999998</v>
      </c>
      <c r="CQ41" s="17">
        <f t="shared" si="28"/>
        <v>332998302.70999998</v>
      </c>
      <c r="CR41" s="17">
        <f t="shared" si="28"/>
        <v>333377721.20999998</v>
      </c>
      <c r="CS41" s="17">
        <f t="shared" si="28"/>
        <v>333377721.20999998</v>
      </c>
      <c r="CT41" s="17">
        <f t="shared" si="28"/>
        <v>328770100.5</v>
      </c>
      <c r="CU41" s="17">
        <f t="shared" si="28"/>
        <v>329686185.5</v>
      </c>
      <c r="CV41" s="17">
        <f t="shared" si="28"/>
        <v>329686185.5</v>
      </c>
      <c r="CW41" s="17">
        <f t="shared" si="28"/>
        <v>272456763.35000002</v>
      </c>
      <c r="CX41" s="17">
        <f t="shared" si="28"/>
        <v>274129760.85000002</v>
      </c>
      <c r="CY41" s="17">
        <f t="shared" si="28"/>
        <v>274187479.57999998</v>
      </c>
      <c r="CZ41" s="17">
        <f t="shared" si="28"/>
        <v>92526019.609999999</v>
      </c>
      <c r="DA41" s="17">
        <f t="shared" si="28"/>
        <v>93343606.200000003</v>
      </c>
      <c r="DB41" s="17">
        <f t="shared" si="28"/>
        <v>322786984.82999998</v>
      </c>
      <c r="DC41" s="17">
        <f t="shared" si="28"/>
        <v>384457620.18000001</v>
      </c>
      <c r="DD41" s="17">
        <f t="shared" si="28"/>
        <v>384533880.54000002</v>
      </c>
      <c r="DE41" s="17">
        <f t="shared" si="28"/>
        <v>392080555.67000002</v>
      </c>
      <c r="DF41" s="17">
        <f t="shared" si="28"/>
        <v>400982684.01000005</v>
      </c>
      <c r="DG41" s="17">
        <f t="shared" si="28"/>
        <v>384088226.76000005</v>
      </c>
      <c r="DH41" s="17">
        <f t="shared" si="28"/>
        <v>385675419.54000002</v>
      </c>
      <c r="DI41" s="17">
        <f t="shared" si="28"/>
        <v>390668439.93000001</v>
      </c>
      <c r="DJ41" s="17">
        <f t="shared" si="28"/>
        <v>386888260.48000002</v>
      </c>
      <c r="DK41" s="17">
        <f t="shared" si="28"/>
        <v>386888260.48000002</v>
      </c>
      <c r="DL41" s="17">
        <f t="shared" si="28"/>
        <v>127782159.47000003</v>
      </c>
      <c r="DM41" s="17">
        <f t="shared" si="28"/>
        <v>134603746.57999998</v>
      </c>
      <c r="DN41" s="17">
        <f t="shared" si="28"/>
        <v>261587895.54999998</v>
      </c>
      <c r="DO41" s="17">
        <f t="shared" si="28"/>
        <v>324817475.48000002</v>
      </c>
      <c r="DP41" s="17">
        <f t="shared" si="28"/>
        <v>325615462.90999997</v>
      </c>
      <c r="DQ41" s="17">
        <f t="shared" si="28"/>
        <v>325619027.83999997</v>
      </c>
      <c r="DR41" s="17">
        <f t="shared" si="28"/>
        <v>282732006.18999994</v>
      </c>
      <c r="DS41" s="17">
        <f t="shared" si="28"/>
        <v>269345327.68999994</v>
      </c>
      <c r="DT41" s="17">
        <f t="shared" si="28"/>
        <v>301785276.48000002</v>
      </c>
      <c r="DU41" s="17">
        <f t="shared" si="28"/>
        <v>292719629.17999995</v>
      </c>
      <c r="DV41" s="17">
        <f t="shared" si="28"/>
        <v>292719629.17999995</v>
      </c>
      <c r="DW41" s="17">
        <f t="shared" si="28"/>
        <v>294219629.17999995</v>
      </c>
      <c r="DX41" s="17">
        <f t="shared" ref="DX41:EM41" si="29">SUM(DX19:DX37)</f>
        <v>95521330.140000001</v>
      </c>
      <c r="DY41" s="17">
        <f t="shared" si="29"/>
        <v>122654099.18390295</v>
      </c>
      <c r="DZ41" s="17">
        <f t="shared" si="29"/>
        <v>297503883.6283474</v>
      </c>
      <c r="EA41" s="17">
        <f t="shared" si="29"/>
        <v>297503883.6283474</v>
      </c>
      <c r="EB41" s="17">
        <f t="shared" si="29"/>
        <v>301129393.6283474</v>
      </c>
      <c r="EC41" s="17">
        <f t="shared" si="29"/>
        <v>301129393.6283474</v>
      </c>
      <c r="ED41" s="17">
        <f t="shared" si="29"/>
        <v>301129393.6283474</v>
      </c>
      <c r="EE41" s="17">
        <f t="shared" si="29"/>
        <v>301129393.6283474</v>
      </c>
      <c r="EF41" s="17">
        <f t="shared" si="29"/>
        <v>282209593.26834738</v>
      </c>
      <c r="EG41" s="17">
        <f t="shared" si="29"/>
        <v>282209593.26834738</v>
      </c>
      <c r="EH41" s="17">
        <f t="shared" si="29"/>
        <v>282209593.26834738</v>
      </c>
      <c r="EI41" s="17">
        <f t="shared" si="29"/>
        <v>282209593.26834738</v>
      </c>
      <c r="EJ41" s="17">
        <f t="shared" si="29"/>
        <v>85723444.219999969</v>
      </c>
      <c r="EK41" s="17">
        <f t="shared" si="29"/>
        <v>202188458.35999998</v>
      </c>
      <c r="EL41" s="17">
        <f t="shared" si="29"/>
        <v>202646125.35999998</v>
      </c>
      <c r="EM41" s="17">
        <f t="shared" si="29"/>
        <v>260805793.35999998</v>
      </c>
      <c r="EN41" s="17">
        <f t="shared" ref="EN41:EU41" si="30">SUM(EN19:EN37)</f>
        <v>261352011.35999998</v>
      </c>
      <c r="EO41" s="17">
        <f t="shared" si="30"/>
        <v>261352011.35999998</v>
      </c>
      <c r="EP41" s="17">
        <f t="shared" si="30"/>
        <v>261352011.35999998</v>
      </c>
      <c r="EQ41" s="17">
        <f t="shared" si="30"/>
        <v>261352011.35999998</v>
      </c>
      <c r="ER41" s="17">
        <f t="shared" si="30"/>
        <v>269862660.53999996</v>
      </c>
      <c r="ES41" s="17">
        <f t="shared" si="30"/>
        <v>288346881.75</v>
      </c>
      <c r="ET41" s="17">
        <f t="shared" si="30"/>
        <v>288453623.75</v>
      </c>
      <c r="EU41" s="17">
        <f t="shared" si="30"/>
        <v>288453623.75</v>
      </c>
    </row>
    <row r="42" spans="1:152" ht="15" hidden="1" customHeight="1" x14ac:dyDescent="0.25">
      <c r="A42" s="2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5"/>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5"/>
      <c r="DA42" s="85"/>
      <c r="DB42" s="85"/>
      <c r="DC42" s="8"/>
      <c r="DD42" s="8"/>
      <c r="DE42" s="8"/>
      <c r="DF42" s="8"/>
      <c r="DG42" s="8"/>
      <c r="DH42" s="8"/>
      <c r="DI42" s="85"/>
      <c r="DJ42" s="85"/>
      <c r="DK42" s="85"/>
      <c r="DL42" s="85"/>
      <c r="DM42" s="85"/>
      <c r="DN42" s="85"/>
      <c r="DO42" s="8"/>
      <c r="DP42" s="8"/>
      <c r="DQ42" s="8"/>
      <c r="DR42" s="85"/>
      <c r="DS42" s="8"/>
      <c r="DT42" s="8"/>
      <c r="DU42" s="85"/>
      <c r="DV42" s="85"/>
      <c r="DW42" s="85"/>
      <c r="DX42" s="8"/>
      <c r="DY42" s="8"/>
      <c r="DZ42" s="8"/>
      <c r="EA42" s="8"/>
      <c r="EB42" s="8"/>
      <c r="EC42" s="8"/>
      <c r="ED42" s="8"/>
      <c r="EE42" s="8"/>
      <c r="EF42" s="8"/>
      <c r="EG42" s="17"/>
      <c r="EH42" s="17"/>
      <c r="EI42" s="17"/>
      <c r="EJ42" s="17"/>
      <c r="EK42" s="17"/>
      <c r="EL42" s="17"/>
      <c r="EM42" s="17"/>
      <c r="EN42" s="17"/>
      <c r="EO42" s="17"/>
      <c r="EP42" s="17"/>
      <c r="EQ42" s="17"/>
      <c r="ER42" s="17"/>
      <c r="ES42" s="17"/>
      <c r="ET42" s="17"/>
      <c r="EU42" s="17"/>
    </row>
    <row r="43" spans="1:152" ht="15" customHeight="1" x14ac:dyDescent="0.25">
      <c r="A43" s="2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5"/>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5"/>
      <c r="DA43" s="85"/>
      <c r="DB43" s="85"/>
      <c r="DC43" s="8"/>
      <c r="DD43" s="8"/>
      <c r="DE43" s="8"/>
      <c r="DF43" s="8"/>
      <c r="DG43" s="8"/>
      <c r="DH43" s="8"/>
      <c r="DI43" s="85"/>
      <c r="DJ43" s="85"/>
      <c r="DK43" s="85"/>
      <c r="DL43" s="85"/>
      <c r="DM43" s="85"/>
      <c r="DN43" s="85"/>
      <c r="DO43" s="8"/>
      <c r="DP43" s="8"/>
      <c r="DQ43" s="8"/>
      <c r="DR43" s="85"/>
      <c r="DS43" s="8"/>
      <c r="DT43" s="8"/>
      <c r="DU43" s="85"/>
      <c r="DV43" s="85"/>
      <c r="DW43" s="85"/>
      <c r="DX43" s="8"/>
      <c r="DY43" s="8"/>
      <c r="DZ43" s="8"/>
      <c r="EA43" s="8"/>
      <c r="EB43" s="8"/>
      <c r="EC43" s="8"/>
      <c r="ED43" s="8"/>
      <c r="EE43" s="8"/>
      <c r="EF43" s="8"/>
      <c r="EG43" s="17"/>
      <c r="EH43" s="17"/>
      <c r="EI43" s="17"/>
      <c r="EJ43" s="17"/>
      <c r="EK43" s="17"/>
      <c r="EL43" s="17"/>
      <c r="EM43" s="17"/>
      <c r="EN43" s="17"/>
      <c r="EO43" s="17"/>
      <c r="EP43" s="17"/>
      <c r="EQ43" s="17"/>
      <c r="ER43" s="17"/>
      <c r="ES43" s="17"/>
      <c r="ET43" s="17"/>
      <c r="EU43" s="17"/>
    </row>
    <row r="44" spans="1:152" ht="21" customHeight="1" x14ac:dyDescent="0.25">
      <c r="A44" s="28"/>
      <c r="B44" s="12" t="s">
        <v>9</v>
      </c>
      <c r="C44" s="12"/>
      <c r="D44" s="12"/>
      <c r="E44" s="12"/>
      <c r="F44" s="12"/>
      <c r="G44" s="12"/>
      <c r="H44" s="12"/>
      <c r="I44" s="12"/>
      <c r="J44" s="12"/>
      <c r="K44" s="12"/>
      <c r="L44" s="12"/>
      <c r="M44" s="12"/>
      <c r="N44" s="12"/>
      <c r="O44" s="12"/>
      <c r="P44" s="12"/>
      <c r="Q44" s="12"/>
      <c r="R44" s="12"/>
      <c r="S44" s="12"/>
      <c r="T44" s="12"/>
      <c r="U44" s="12"/>
      <c r="V44" s="12"/>
      <c r="W44" s="12" t="s">
        <v>23</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88"/>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88"/>
      <c r="DA44" s="88"/>
      <c r="DB44" s="88"/>
      <c r="DC44" s="12"/>
      <c r="DD44" s="12"/>
      <c r="DE44" s="12"/>
      <c r="DF44" s="12"/>
      <c r="DG44" s="12"/>
      <c r="DH44" s="12"/>
      <c r="DI44" s="88"/>
      <c r="DJ44" s="88"/>
      <c r="DK44" s="88"/>
      <c r="DL44" s="88"/>
      <c r="DM44" s="88"/>
      <c r="DN44" s="88"/>
      <c r="DO44" s="12"/>
      <c r="DP44" s="12"/>
      <c r="DQ44" s="12"/>
      <c r="DR44" s="88"/>
      <c r="DS44" s="12"/>
      <c r="DT44" s="12"/>
      <c r="DU44" s="88"/>
      <c r="DV44" s="88"/>
      <c r="DW44" s="88"/>
      <c r="DX44" s="12"/>
      <c r="DY44" s="12"/>
      <c r="DZ44" s="12"/>
      <c r="EA44" s="12"/>
      <c r="EB44" s="12"/>
      <c r="EC44" s="12"/>
      <c r="ED44" s="12"/>
      <c r="EE44" s="12"/>
      <c r="EF44" s="12"/>
      <c r="EG44" s="14"/>
      <c r="EH44" s="14"/>
      <c r="EI44" s="14"/>
      <c r="EJ44" s="14"/>
      <c r="EK44" s="14"/>
      <c r="EL44" s="14"/>
      <c r="EM44" s="14"/>
      <c r="EN44" s="14"/>
      <c r="EO44" s="14"/>
      <c r="EP44" s="14"/>
      <c r="EQ44" s="14"/>
      <c r="ER44" s="14"/>
      <c r="ES44" s="14"/>
      <c r="ET44" s="14"/>
      <c r="EU44" s="14"/>
    </row>
    <row r="45" spans="1:152" ht="15.75" customHeight="1" x14ac:dyDescent="0.25">
      <c r="A45" s="28">
        <v>13</v>
      </c>
      <c r="B45" s="9" t="s">
        <v>8</v>
      </c>
      <c r="C45" s="239">
        <f t="shared" ref="C45" si="31">C8</f>
        <v>183909305</v>
      </c>
      <c r="D45" s="239">
        <f t="shared" ref="D45:F45" si="32">D8</f>
        <v>127947580</v>
      </c>
      <c r="E45" s="239">
        <f t="shared" si="32"/>
        <v>101325347</v>
      </c>
      <c r="F45" s="239">
        <f t="shared" si="32"/>
        <v>95134055</v>
      </c>
      <c r="G45" s="239">
        <f t="shared" ref="G45:M45" si="33">G8</f>
        <v>153993050.88</v>
      </c>
      <c r="H45" s="239">
        <f t="shared" si="33"/>
        <v>100571832</v>
      </c>
      <c r="I45" s="61">
        <f t="shared" si="33"/>
        <v>99019580</v>
      </c>
      <c r="J45" s="61">
        <f t="shared" si="33"/>
        <v>81655856</v>
      </c>
      <c r="K45" s="61">
        <f t="shared" si="33"/>
        <v>209401868</v>
      </c>
      <c r="L45" s="61">
        <f t="shared" si="33"/>
        <v>114717074</v>
      </c>
      <c r="M45" s="61">
        <f t="shared" si="33"/>
        <v>95099373</v>
      </c>
      <c r="N45" s="61">
        <f t="shared" ref="N45:S45" si="34">N8</f>
        <v>71450042</v>
      </c>
      <c r="O45" s="61">
        <f t="shared" si="34"/>
        <v>232980215</v>
      </c>
      <c r="P45" s="61">
        <f t="shared" si="34"/>
        <v>135988523</v>
      </c>
      <c r="Q45" s="61">
        <f t="shared" si="34"/>
        <v>116126400</v>
      </c>
      <c r="R45" s="61">
        <f t="shared" si="34"/>
        <v>107830398</v>
      </c>
      <c r="S45" s="61">
        <f t="shared" si="34"/>
        <v>98627178</v>
      </c>
      <c r="T45" s="61">
        <f t="shared" ref="T45:Y45" si="35">T8</f>
        <v>95546933</v>
      </c>
      <c r="U45" s="61">
        <f t="shared" si="35"/>
        <v>308416225</v>
      </c>
      <c r="V45" s="61">
        <f t="shared" si="35"/>
        <v>130290232.09999999</v>
      </c>
      <c r="W45" s="61">
        <f t="shared" si="35"/>
        <v>128739924</v>
      </c>
      <c r="X45" s="61">
        <f t="shared" si="35"/>
        <v>120928935</v>
      </c>
      <c r="Y45" s="61">
        <f t="shared" si="35"/>
        <v>84225436</v>
      </c>
      <c r="Z45" s="61">
        <f t="shared" ref="Z45:BE45" si="36">Z8</f>
        <v>75218797</v>
      </c>
      <c r="AA45" s="61">
        <f t="shared" si="36"/>
        <v>68390848</v>
      </c>
      <c r="AB45" s="61">
        <f t="shared" si="36"/>
        <v>66260650</v>
      </c>
      <c r="AC45" s="61">
        <f t="shared" si="36"/>
        <v>61352343.25</v>
      </c>
      <c r="AD45" s="61">
        <f t="shared" si="36"/>
        <v>22277599</v>
      </c>
      <c r="AE45" s="61">
        <f t="shared" si="36"/>
        <v>12777362</v>
      </c>
      <c r="AF45" s="61">
        <f t="shared" si="36"/>
        <v>8381628</v>
      </c>
      <c r="AG45" s="187">
        <f t="shared" si="36"/>
        <v>360211024</v>
      </c>
      <c r="AH45" s="61">
        <f t="shared" si="36"/>
        <v>262462765.16000003</v>
      </c>
      <c r="AI45" s="61">
        <f t="shared" si="36"/>
        <v>312373028</v>
      </c>
      <c r="AJ45" s="61">
        <f t="shared" si="36"/>
        <v>303693426</v>
      </c>
      <c r="AK45" s="61">
        <f t="shared" si="36"/>
        <v>86498255</v>
      </c>
      <c r="AL45" s="61">
        <f t="shared" si="36"/>
        <v>77134672</v>
      </c>
      <c r="AM45" s="61">
        <f t="shared" si="36"/>
        <v>68031973</v>
      </c>
      <c r="AN45" s="61">
        <f t="shared" si="36"/>
        <v>55298482.75</v>
      </c>
      <c r="AO45" s="61">
        <f t="shared" si="36"/>
        <v>49293657.75</v>
      </c>
      <c r="AP45" s="61">
        <f t="shared" si="36"/>
        <v>41299573.75</v>
      </c>
      <c r="AQ45" s="61">
        <f t="shared" si="36"/>
        <v>24082727</v>
      </c>
      <c r="AR45" s="61">
        <f t="shared" si="36"/>
        <v>17920942</v>
      </c>
      <c r="AS45" s="61">
        <f t="shared" si="36"/>
        <v>106596890</v>
      </c>
      <c r="AT45" s="61">
        <f t="shared" si="36"/>
        <v>92025003</v>
      </c>
      <c r="AU45" s="61">
        <f t="shared" si="36"/>
        <v>140632015.47</v>
      </c>
      <c r="AV45" s="61">
        <f t="shared" si="36"/>
        <v>131462818.96000001</v>
      </c>
      <c r="AW45" s="61">
        <f t="shared" si="36"/>
        <v>80421772.819999993</v>
      </c>
      <c r="AX45" s="61">
        <f t="shared" si="36"/>
        <v>80421771.61999999</v>
      </c>
      <c r="AY45" s="61">
        <f t="shared" si="36"/>
        <v>65315591.25</v>
      </c>
      <c r="AZ45" s="61">
        <f t="shared" si="36"/>
        <v>56891031.950000003</v>
      </c>
      <c r="BA45" s="61">
        <f t="shared" si="36"/>
        <v>48264537.369999997</v>
      </c>
      <c r="BB45" s="61">
        <f t="shared" si="36"/>
        <v>38632023.159999996</v>
      </c>
      <c r="BC45" s="61">
        <f t="shared" si="36"/>
        <v>28360420.48</v>
      </c>
      <c r="BD45" s="61">
        <f t="shared" si="36"/>
        <v>16842202.889999986</v>
      </c>
      <c r="BE45" s="61">
        <f t="shared" si="36"/>
        <v>147158111.88999999</v>
      </c>
      <c r="BF45" s="61">
        <f t="shared" ref="BF45:CK45" si="37">BF8</f>
        <v>94958211.889999986</v>
      </c>
      <c r="BG45" s="61">
        <f t="shared" si="37"/>
        <v>143849435.88999999</v>
      </c>
      <c r="BH45" s="61">
        <f t="shared" si="37"/>
        <v>134698013.88999999</v>
      </c>
      <c r="BI45" s="61">
        <f t="shared" si="37"/>
        <v>90767762.350000009</v>
      </c>
      <c r="BJ45" s="61">
        <f t="shared" si="37"/>
        <v>80251577</v>
      </c>
      <c r="BK45" s="61">
        <f t="shared" si="37"/>
        <v>71441790.719999999</v>
      </c>
      <c r="BL45" s="61">
        <f t="shared" si="37"/>
        <v>62411098.519999996</v>
      </c>
      <c r="BM45" s="61">
        <f t="shared" si="37"/>
        <v>55911696.800000004</v>
      </c>
      <c r="BN45" s="61">
        <f t="shared" si="37"/>
        <v>43521797.340000004</v>
      </c>
      <c r="BO45" s="61">
        <f t="shared" si="37"/>
        <v>27584277.359999999</v>
      </c>
      <c r="BP45" s="61">
        <f t="shared" si="37"/>
        <v>14101674.860000014</v>
      </c>
      <c r="BQ45" s="61">
        <f t="shared" si="37"/>
        <v>128818188.36</v>
      </c>
      <c r="BR45" s="61">
        <f t="shared" si="37"/>
        <v>78493587.449999988</v>
      </c>
      <c r="BS45" s="61">
        <f t="shared" si="37"/>
        <v>128534754.80000001</v>
      </c>
      <c r="BT45" s="61">
        <f t="shared" si="37"/>
        <v>116890311.90000001</v>
      </c>
      <c r="BU45" s="61">
        <f t="shared" si="37"/>
        <v>73100654.329999998</v>
      </c>
      <c r="BV45" s="61">
        <f t="shared" si="37"/>
        <v>64889625.539999999</v>
      </c>
      <c r="BW45" s="61">
        <f t="shared" si="37"/>
        <v>53879253.480000004</v>
      </c>
      <c r="BX45" s="61">
        <f t="shared" si="37"/>
        <v>45234428.019999996</v>
      </c>
      <c r="BY45" s="61">
        <f t="shared" si="37"/>
        <v>41086711</v>
      </c>
      <c r="BZ45" s="61">
        <f t="shared" si="37"/>
        <v>31539489.09</v>
      </c>
      <c r="CA45" s="61">
        <f t="shared" si="37"/>
        <v>19784127</v>
      </c>
      <c r="CB45" s="61">
        <f t="shared" si="37"/>
        <v>15659644.150000036</v>
      </c>
      <c r="CC45" s="61">
        <f t="shared" si="37"/>
        <v>140279960.80000001</v>
      </c>
      <c r="CD45" s="61">
        <f t="shared" si="37"/>
        <v>90689334.919999987</v>
      </c>
      <c r="CE45" s="61">
        <f t="shared" si="37"/>
        <v>141133775</v>
      </c>
      <c r="CF45" s="61">
        <f t="shared" si="37"/>
        <v>125222234</v>
      </c>
      <c r="CG45" s="61">
        <f t="shared" si="37"/>
        <v>81672396</v>
      </c>
      <c r="CH45" s="61">
        <f t="shared" si="37"/>
        <v>73291722</v>
      </c>
      <c r="CI45" s="61">
        <f t="shared" si="37"/>
        <v>62862202</v>
      </c>
      <c r="CJ45" s="61">
        <f t="shared" si="37"/>
        <v>53117663.490000002</v>
      </c>
      <c r="CK45" s="61">
        <f t="shared" si="37"/>
        <v>46385552.600000001</v>
      </c>
      <c r="CL45" s="61">
        <f t="shared" ref="CL45:DQ45" si="38">CL8</f>
        <v>36338755.600000001</v>
      </c>
      <c r="CM45" s="61">
        <f t="shared" si="38"/>
        <v>25784816.600000001</v>
      </c>
      <c r="CN45" s="61">
        <f t="shared" si="38"/>
        <v>17681538.730000019</v>
      </c>
      <c r="CO45" s="61">
        <f t="shared" si="38"/>
        <v>194645576.73000002</v>
      </c>
      <c r="CP45" s="61">
        <f t="shared" si="38"/>
        <v>133619747.58000001</v>
      </c>
      <c r="CQ45" s="61">
        <f t="shared" si="38"/>
        <v>181738720.58000001</v>
      </c>
      <c r="CR45" s="61">
        <f t="shared" si="38"/>
        <v>172396450</v>
      </c>
      <c r="CS45" s="61">
        <f t="shared" si="38"/>
        <v>108208247.61</v>
      </c>
      <c r="CT45" s="61">
        <f t="shared" si="38"/>
        <v>97272320.609999999</v>
      </c>
      <c r="CU45" s="61">
        <f t="shared" si="38"/>
        <v>95071139.609999999</v>
      </c>
      <c r="CV45" s="61">
        <f t="shared" si="38"/>
        <v>86188143.609999999</v>
      </c>
      <c r="CW45" s="61">
        <f t="shared" si="38"/>
        <v>80954345.609999999</v>
      </c>
      <c r="CX45" s="61">
        <f t="shared" si="38"/>
        <v>65104295.609999999</v>
      </c>
      <c r="CY45" s="61">
        <f t="shared" si="38"/>
        <v>53072817.609999999</v>
      </c>
      <c r="CZ45" s="61">
        <f t="shared" si="38"/>
        <v>52478675.75</v>
      </c>
      <c r="DA45" s="61">
        <f t="shared" si="38"/>
        <v>18530100</v>
      </c>
      <c r="DB45" s="61">
        <f t="shared" si="38"/>
        <v>203702459</v>
      </c>
      <c r="DC45" s="61">
        <f t="shared" si="38"/>
        <v>253568479</v>
      </c>
      <c r="DD45" s="61">
        <f t="shared" si="38"/>
        <v>243140859</v>
      </c>
      <c r="DE45" s="61">
        <f t="shared" si="38"/>
        <v>185709404</v>
      </c>
      <c r="DF45" s="61">
        <f t="shared" si="38"/>
        <v>182923905</v>
      </c>
      <c r="DG45" s="61">
        <f t="shared" si="38"/>
        <v>177686748</v>
      </c>
      <c r="DH45" s="61">
        <f t="shared" si="38"/>
        <v>168811202</v>
      </c>
      <c r="DI45" s="61">
        <f t="shared" si="38"/>
        <v>162381902</v>
      </c>
      <c r="DJ45" s="61">
        <f t="shared" si="38"/>
        <v>153591847</v>
      </c>
      <c r="DK45" s="61">
        <f t="shared" si="38"/>
        <v>140238802</v>
      </c>
      <c r="DL45" s="61">
        <f t="shared" si="38"/>
        <v>151091810</v>
      </c>
      <c r="DM45" s="61">
        <f t="shared" si="38"/>
        <v>108318947</v>
      </c>
      <c r="DN45" s="61">
        <f t="shared" si="38"/>
        <v>215839634</v>
      </c>
      <c r="DO45" s="61">
        <f t="shared" si="38"/>
        <v>264531972</v>
      </c>
      <c r="DP45" s="61">
        <f t="shared" si="38"/>
        <v>254801875</v>
      </c>
      <c r="DQ45" s="61">
        <f t="shared" si="38"/>
        <v>190981406</v>
      </c>
      <c r="DR45" s="61">
        <f t="shared" ref="DR45:EU45" si="39">DR8</f>
        <v>179287185</v>
      </c>
      <c r="DS45" s="61">
        <f t="shared" si="39"/>
        <v>176752557</v>
      </c>
      <c r="DT45" s="61">
        <f t="shared" si="39"/>
        <v>174588882</v>
      </c>
      <c r="DU45" s="61">
        <f t="shared" si="39"/>
        <v>165596696</v>
      </c>
      <c r="DV45" s="61">
        <f t="shared" si="39"/>
        <v>154973706</v>
      </c>
      <c r="DW45" s="61">
        <f t="shared" si="39"/>
        <v>141863132</v>
      </c>
      <c r="DX45" s="61">
        <f t="shared" si="39"/>
        <v>146283509.06999996</v>
      </c>
      <c r="DY45" s="61">
        <f t="shared" si="39"/>
        <v>99270417.289999962</v>
      </c>
      <c r="DZ45" s="61">
        <f t="shared" si="39"/>
        <v>208156890.28999996</v>
      </c>
      <c r="EA45" s="61">
        <f t="shared" si="39"/>
        <v>253516117.28999996</v>
      </c>
      <c r="EB45" s="61">
        <f t="shared" si="39"/>
        <v>242125913.28999996</v>
      </c>
      <c r="EC45" s="61">
        <f t="shared" si="39"/>
        <v>182161690.92999998</v>
      </c>
      <c r="ED45" s="59">
        <f t="shared" si="39"/>
        <v>170121142.92999998</v>
      </c>
      <c r="EE45" s="59">
        <f t="shared" si="39"/>
        <v>159701902.16999999</v>
      </c>
      <c r="EF45" s="59">
        <f t="shared" si="39"/>
        <v>155132512.69</v>
      </c>
      <c r="EG45" s="59">
        <f t="shared" si="39"/>
        <v>147616907.24000001</v>
      </c>
      <c r="EH45" s="59">
        <f t="shared" si="39"/>
        <v>137244957.24000001</v>
      </c>
      <c r="EI45" s="59">
        <f t="shared" si="39"/>
        <v>126690367.73999999</v>
      </c>
      <c r="EJ45" s="59">
        <f t="shared" si="39"/>
        <v>119513646.56</v>
      </c>
      <c r="EK45" s="59">
        <f t="shared" si="39"/>
        <v>191723156.38</v>
      </c>
      <c r="EL45" s="59">
        <f t="shared" si="39"/>
        <v>183444931.38</v>
      </c>
      <c r="EM45" s="59">
        <f t="shared" si="39"/>
        <v>229890542.38</v>
      </c>
      <c r="EN45" s="59">
        <f t="shared" si="39"/>
        <v>217608514.38</v>
      </c>
      <c r="EO45" s="59">
        <f t="shared" si="39"/>
        <v>157525730.38</v>
      </c>
      <c r="EP45" s="59">
        <f t="shared" si="39"/>
        <v>145255181.38</v>
      </c>
      <c r="EQ45" s="59">
        <f t="shared" si="39"/>
        <v>132597870.38</v>
      </c>
      <c r="ER45" s="59">
        <f t="shared" si="39"/>
        <v>135128930.38</v>
      </c>
      <c r="ES45" s="59">
        <f t="shared" si="39"/>
        <v>129235107.38</v>
      </c>
      <c r="ET45" s="59">
        <f t="shared" si="39"/>
        <v>118850900.38</v>
      </c>
      <c r="EU45" s="59">
        <f t="shared" si="39"/>
        <v>107889006.38</v>
      </c>
    </row>
    <row r="46" spans="1:152" ht="15" customHeight="1" x14ac:dyDescent="0.25">
      <c r="A46" s="2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61"/>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61"/>
      <c r="DA46" s="61"/>
      <c r="DB46" s="61"/>
      <c r="DC46" s="9"/>
      <c r="DD46" s="9"/>
      <c r="DE46" s="9"/>
      <c r="DF46" s="9"/>
      <c r="DG46" s="9"/>
      <c r="DH46" s="9"/>
      <c r="DI46" s="61"/>
      <c r="DJ46" s="61"/>
      <c r="DK46" s="61"/>
      <c r="DL46" s="61"/>
      <c r="DM46" s="61"/>
      <c r="DN46" s="61"/>
      <c r="DO46" s="9"/>
      <c r="DP46" s="9"/>
      <c r="DQ46" s="9"/>
      <c r="DR46" s="61"/>
      <c r="DS46" s="9"/>
      <c r="DT46" s="9"/>
      <c r="DU46" s="61"/>
      <c r="DV46" s="61"/>
      <c r="DW46" s="61"/>
      <c r="DX46" s="9"/>
      <c r="DY46" s="9"/>
      <c r="DZ46" s="9"/>
      <c r="EA46" s="9"/>
      <c r="EB46" s="9"/>
      <c r="EC46" s="9"/>
      <c r="ED46" s="9"/>
      <c r="EE46" s="9"/>
      <c r="EF46" s="9"/>
      <c r="EG46" s="59"/>
      <c r="EH46" s="59"/>
      <c r="EI46" s="59"/>
      <c r="EJ46" s="59"/>
      <c r="EK46" s="59"/>
      <c r="EL46" s="59"/>
      <c r="EM46" s="59"/>
      <c r="EN46" s="59"/>
      <c r="EO46" s="59"/>
      <c r="EP46" s="59"/>
      <c r="EQ46" s="59"/>
      <c r="ER46" s="59"/>
      <c r="ES46" s="59"/>
      <c r="ET46" s="59"/>
      <c r="EU46" s="59"/>
    </row>
    <row r="47" spans="1:152" ht="15.75" customHeight="1" x14ac:dyDescent="0.25">
      <c r="A47" s="28">
        <v>14</v>
      </c>
      <c r="B47" s="9" t="s">
        <v>50</v>
      </c>
      <c r="C47" s="203">
        <f t="shared" ref="C47" si="40">-C41</f>
        <v>-204631562.61000001</v>
      </c>
      <c r="D47" s="203">
        <f t="shared" ref="D47:I47" si="41">-D41</f>
        <v>-204631562.61000001</v>
      </c>
      <c r="E47" s="203">
        <f t="shared" si="41"/>
        <v>-216575964</v>
      </c>
      <c r="F47" s="203">
        <f t="shared" si="41"/>
        <v>-95134055</v>
      </c>
      <c r="G47" s="203">
        <f t="shared" si="41"/>
        <v>-215408346.25</v>
      </c>
      <c r="H47" s="203">
        <f t="shared" si="41"/>
        <v>-222440076.19</v>
      </c>
      <c r="I47" s="203">
        <f t="shared" si="41"/>
        <v>-230293717.94</v>
      </c>
      <c r="J47" s="203">
        <f t="shared" ref="J47:O47" si="42">-J41</f>
        <v>-81655856</v>
      </c>
      <c r="K47" s="203">
        <f t="shared" si="42"/>
        <v>-261350344.94</v>
      </c>
      <c r="L47" s="203">
        <f t="shared" si="42"/>
        <v>-251979558.93999997</v>
      </c>
      <c r="M47" s="203">
        <f t="shared" si="42"/>
        <v>-255453896.94</v>
      </c>
      <c r="N47" s="203">
        <f t="shared" si="42"/>
        <v>-71450042</v>
      </c>
      <c r="O47" s="203">
        <f t="shared" si="42"/>
        <v>-266125716.93999997</v>
      </c>
      <c r="P47" s="203">
        <f t="shared" ref="P47:V47" si="43">-P41</f>
        <v>-266279702.48999998</v>
      </c>
      <c r="Q47" s="203">
        <f t="shared" si="43"/>
        <v>-262036200.08999997</v>
      </c>
      <c r="R47" s="203">
        <f t="shared" si="43"/>
        <v>-262036200.08999997</v>
      </c>
      <c r="S47" s="203">
        <f t="shared" si="43"/>
        <v>-262036200.08999997</v>
      </c>
      <c r="T47" s="202">
        <f t="shared" si="43"/>
        <v>-95546933</v>
      </c>
      <c r="U47" s="203">
        <f t="shared" si="43"/>
        <v>-233243685.25999999</v>
      </c>
      <c r="V47" s="202">
        <f t="shared" si="43"/>
        <v>-240743685.29999998</v>
      </c>
      <c r="W47" s="203">
        <f t="shared" ref="W47:AB47" si="44">-W41</f>
        <v>-241359537.29999998</v>
      </c>
      <c r="X47" s="203">
        <f t="shared" si="44"/>
        <v>-248017364.29999998</v>
      </c>
      <c r="Y47" s="203">
        <f t="shared" si="44"/>
        <v>-243872364.29999998</v>
      </c>
      <c r="Z47" s="203">
        <f t="shared" si="44"/>
        <v>-228872364.29999998</v>
      </c>
      <c r="AA47" s="214">
        <f t="shared" si="44"/>
        <v>-236573152.13</v>
      </c>
      <c r="AB47" s="213">
        <f t="shared" si="44"/>
        <v>-229113152.13</v>
      </c>
      <c r="AC47" s="210">
        <f t="shared" ref="AC47:BE47" si="45">-AC41</f>
        <v>-232814410.13</v>
      </c>
      <c r="AD47" s="210">
        <f t="shared" si="45"/>
        <v>-232814410.13</v>
      </c>
      <c r="AE47" s="210">
        <f t="shared" si="45"/>
        <v>-232814410.13</v>
      </c>
      <c r="AF47" s="204">
        <f t="shared" si="45"/>
        <v>-8381628.4699999783</v>
      </c>
      <c r="AG47" s="203">
        <f t="shared" si="45"/>
        <v>-376970814.65999997</v>
      </c>
      <c r="AH47" s="203">
        <f t="shared" si="45"/>
        <v>-376970814.65999997</v>
      </c>
      <c r="AI47" s="203">
        <f t="shared" si="45"/>
        <v>-436047220.65999997</v>
      </c>
      <c r="AJ47" s="203">
        <f t="shared" si="45"/>
        <v>-436047220.65999997</v>
      </c>
      <c r="AK47" s="203">
        <f t="shared" si="45"/>
        <v>-243163220.65999997</v>
      </c>
      <c r="AL47" s="203">
        <f t="shared" si="45"/>
        <v>-218520379.13</v>
      </c>
      <c r="AM47" s="203">
        <f t="shared" si="45"/>
        <v>-218520379.13</v>
      </c>
      <c r="AN47" s="203">
        <f t="shared" si="45"/>
        <v>-218520379.13</v>
      </c>
      <c r="AO47" s="203">
        <f t="shared" si="45"/>
        <v>-207458973.13</v>
      </c>
      <c r="AP47" s="203">
        <f t="shared" si="45"/>
        <v>-207526751.13</v>
      </c>
      <c r="AQ47" s="203">
        <f t="shared" si="45"/>
        <v>-207590651.13</v>
      </c>
      <c r="AR47" s="203">
        <f t="shared" si="45"/>
        <v>-17920941.999999978</v>
      </c>
      <c r="AS47" s="203">
        <f t="shared" si="45"/>
        <v>-145801688.12999997</v>
      </c>
      <c r="AT47" s="202">
        <f t="shared" si="45"/>
        <v>-148954835.12999997</v>
      </c>
      <c r="AU47" s="164">
        <f t="shared" si="45"/>
        <v>-207188702.13</v>
      </c>
      <c r="AV47" s="164">
        <f t="shared" si="45"/>
        <v>-198878753.13</v>
      </c>
      <c r="AW47" s="164">
        <f t="shared" si="45"/>
        <v>-198878753.13</v>
      </c>
      <c r="AX47" s="164">
        <f t="shared" si="45"/>
        <v>-199587903.63</v>
      </c>
      <c r="AY47" s="164">
        <f t="shared" si="45"/>
        <v>-199587903.63</v>
      </c>
      <c r="AZ47" s="164">
        <f t="shared" si="45"/>
        <v>-199587903.63</v>
      </c>
      <c r="BA47" s="164">
        <f t="shared" si="45"/>
        <v>-199587903.63</v>
      </c>
      <c r="BB47" s="164">
        <f t="shared" si="45"/>
        <v>-199587903.63</v>
      </c>
      <c r="BC47" s="164">
        <f t="shared" si="45"/>
        <v>-199587903.63</v>
      </c>
      <c r="BD47" s="164">
        <f t="shared" si="45"/>
        <v>-16842202.889999978</v>
      </c>
      <c r="BE47" s="155">
        <f t="shared" si="45"/>
        <v>-142158693.62999997</v>
      </c>
      <c r="BF47" s="155">
        <f t="shared" ref="BF47:CM47" si="46">-BF41</f>
        <v>-142158693.62999997</v>
      </c>
      <c r="BG47" s="155">
        <f t="shared" si="46"/>
        <v>-199572893.63</v>
      </c>
      <c r="BH47" s="155">
        <f t="shared" si="46"/>
        <v>-199572893.63</v>
      </c>
      <c r="BI47" s="155">
        <f t="shared" si="46"/>
        <v>-199572893.63</v>
      </c>
      <c r="BJ47" s="155">
        <f t="shared" si="46"/>
        <v>-190691063.63</v>
      </c>
      <c r="BK47" s="155">
        <f t="shared" si="46"/>
        <v>-190735520.89999998</v>
      </c>
      <c r="BL47" s="155">
        <f t="shared" si="46"/>
        <v>-190735520.89999998</v>
      </c>
      <c r="BM47" s="155">
        <f t="shared" si="46"/>
        <v>-194019800.89999998</v>
      </c>
      <c r="BN47" s="155">
        <f t="shared" si="46"/>
        <v>-194019800.89999998</v>
      </c>
      <c r="BO47" s="155">
        <f t="shared" si="46"/>
        <v>-194019800.89999998</v>
      </c>
      <c r="BP47" s="154">
        <f t="shared" si="46"/>
        <v>-14101674.859999983</v>
      </c>
      <c r="BQ47" s="149">
        <f t="shared" si="46"/>
        <v>-191933350.90999997</v>
      </c>
      <c r="BR47" s="148">
        <f t="shared" si="46"/>
        <v>-191933350.90999997</v>
      </c>
      <c r="BS47" s="105">
        <f t="shared" si="46"/>
        <v>-192003882.51999998</v>
      </c>
      <c r="BT47" s="105">
        <f t="shared" si="46"/>
        <v>-252933362.59999996</v>
      </c>
      <c r="BU47" s="105">
        <f t="shared" si="46"/>
        <v>-253001833.69999999</v>
      </c>
      <c r="BV47" s="105">
        <f t="shared" si="46"/>
        <v>-253001833.69999999</v>
      </c>
      <c r="BW47" s="105">
        <f t="shared" si="46"/>
        <v>-253016715.94</v>
      </c>
      <c r="BX47" s="105">
        <f t="shared" si="46"/>
        <v>-253085514.27999997</v>
      </c>
      <c r="BY47" s="105">
        <f t="shared" si="46"/>
        <v>-256633624.86999997</v>
      </c>
      <c r="BZ47" s="105">
        <f t="shared" si="46"/>
        <v>-257018090.81999999</v>
      </c>
      <c r="CA47" s="105">
        <f t="shared" si="46"/>
        <v>-257522008.03999996</v>
      </c>
      <c r="CB47" s="105">
        <f t="shared" si="46"/>
        <v>-67064974.619999975</v>
      </c>
      <c r="CC47" s="105">
        <f t="shared" si="46"/>
        <v>-206675379.75999999</v>
      </c>
      <c r="CD47" s="105">
        <f t="shared" si="46"/>
        <v>-206675379.75999987</v>
      </c>
      <c r="CE47" s="105">
        <f t="shared" si="46"/>
        <v>-266478779.7599999</v>
      </c>
      <c r="CF47" s="105">
        <f t="shared" si="46"/>
        <v>-266520763.70999989</v>
      </c>
      <c r="CG47" s="105">
        <f t="shared" si="46"/>
        <v>-266520763.70999989</v>
      </c>
      <c r="CH47" s="105">
        <f t="shared" si="46"/>
        <v>-266520763.70999989</v>
      </c>
      <c r="CI47" s="105">
        <f t="shared" si="46"/>
        <v>-272227599.81999987</v>
      </c>
      <c r="CJ47" s="105">
        <f t="shared" si="46"/>
        <v>-272227599.81999987</v>
      </c>
      <c r="CK47" s="105">
        <f t="shared" si="46"/>
        <v>-272227599.81999987</v>
      </c>
      <c r="CL47" s="105">
        <f t="shared" si="46"/>
        <v>-272227599.81999987</v>
      </c>
      <c r="CM47" s="105">
        <f t="shared" si="46"/>
        <v>-272227599.81999987</v>
      </c>
      <c r="CN47" s="105">
        <f t="shared" ref="CN47:DS47" si="47">-(CN41)</f>
        <v>-67844922.319999874</v>
      </c>
      <c r="CO47" s="105">
        <f t="shared" si="47"/>
        <v>-268616752.70999998</v>
      </c>
      <c r="CP47" s="105">
        <f t="shared" si="47"/>
        <v>-271472852.70999998</v>
      </c>
      <c r="CQ47" s="105">
        <f t="shared" si="47"/>
        <v>-332998302.70999998</v>
      </c>
      <c r="CR47" s="105">
        <f t="shared" si="47"/>
        <v>-333377721.20999998</v>
      </c>
      <c r="CS47" s="105">
        <f t="shared" si="47"/>
        <v>-333377721.20999998</v>
      </c>
      <c r="CT47" s="105">
        <f t="shared" si="47"/>
        <v>-328770100.5</v>
      </c>
      <c r="CU47" s="105">
        <f t="shared" si="47"/>
        <v>-329686185.5</v>
      </c>
      <c r="CV47" s="105">
        <f t="shared" si="47"/>
        <v>-329686185.5</v>
      </c>
      <c r="CW47" s="105">
        <f t="shared" si="47"/>
        <v>-272456763.35000002</v>
      </c>
      <c r="CX47" s="105">
        <f t="shared" si="47"/>
        <v>-274129760.85000002</v>
      </c>
      <c r="CY47" s="105">
        <f t="shared" si="47"/>
        <v>-274187479.57999998</v>
      </c>
      <c r="CZ47" s="105">
        <f t="shared" si="47"/>
        <v>-92526019.609999999</v>
      </c>
      <c r="DA47" s="105">
        <f t="shared" si="47"/>
        <v>-93343606.200000003</v>
      </c>
      <c r="DB47" s="105">
        <f t="shared" si="47"/>
        <v>-322786984.82999998</v>
      </c>
      <c r="DC47" s="105">
        <f t="shared" si="47"/>
        <v>-384457620.18000001</v>
      </c>
      <c r="DD47" s="105">
        <f t="shared" si="47"/>
        <v>-384533880.54000002</v>
      </c>
      <c r="DE47" s="105">
        <f t="shared" si="47"/>
        <v>-392080555.67000002</v>
      </c>
      <c r="DF47" s="105">
        <f t="shared" si="47"/>
        <v>-400982684.01000005</v>
      </c>
      <c r="DG47" s="105">
        <f t="shared" si="47"/>
        <v>-384088226.76000005</v>
      </c>
      <c r="DH47" s="105">
        <f t="shared" si="47"/>
        <v>-385675419.54000002</v>
      </c>
      <c r="DI47" s="105">
        <f t="shared" si="47"/>
        <v>-390668439.93000001</v>
      </c>
      <c r="DJ47" s="105">
        <f t="shared" si="47"/>
        <v>-386888260.48000002</v>
      </c>
      <c r="DK47" s="105">
        <f t="shared" si="47"/>
        <v>-386888260.48000002</v>
      </c>
      <c r="DL47" s="105">
        <f t="shared" si="47"/>
        <v>-127782159.47000003</v>
      </c>
      <c r="DM47" s="105">
        <f t="shared" si="47"/>
        <v>-134603746.57999998</v>
      </c>
      <c r="DN47" s="105">
        <f t="shared" si="47"/>
        <v>-261587895.54999998</v>
      </c>
      <c r="DO47" s="105">
        <f t="shared" si="47"/>
        <v>-324817475.48000002</v>
      </c>
      <c r="DP47" s="105">
        <f t="shared" si="47"/>
        <v>-325615462.90999997</v>
      </c>
      <c r="DQ47" s="105">
        <f t="shared" si="47"/>
        <v>-325619027.83999997</v>
      </c>
      <c r="DR47" s="105">
        <f t="shared" si="47"/>
        <v>-282732006.18999994</v>
      </c>
      <c r="DS47" s="105">
        <f t="shared" si="47"/>
        <v>-269345327.68999994</v>
      </c>
      <c r="DT47" s="102">
        <f t="shared" ref="DT47:EU47" si="48">-(DT41)</f>
        <v>-301785276.48000002</v>
      </c>
      <c r="DU47" s="60">
        <f t="shared" si="48"/>
        <v>-292719629.17999995</v>
      </c>
      <c r="DV47" s="60">
        <f t="shared" si="48"/>
        <v>-292719629.17999995</v>
      </c>
      <c r="DW47" s="60">
        <f t="shared" si="48"/>
        <v>-294219629.17999995</v>
      </c>
      <c r="DX47" s="60">
        <f t="shared" si="48"/>
        <v>-95521330.140000001</v>
      </c>
      <c r="DY47" s="60">
        <f t="shared" si="48"/>
        <v>-122654099.18390295</v>
      </c>
      <c r="DZ47" s="60">
        <f t="shared" si="48"/>
        <v>-297503883.6283474</v>
      </c>
      <c r="EA47" s="60">
        <f t="shared" si="48"/>
        <v>-297503883.6283474</v>
      </c>
      <c r="EB47" s="60">
        <f t="shared" si="48"/>
        <v>-301129393.6283474</v>
      </c>
      <c r="EC47" s="60">
        <f t="shared" si="48"/>
        <v>-301129393.6283474</v>
      </c>
      <c r="ED47" s="60">
        <f t="shared" si="48"/>
        <v>-301129393.6283474</v>
      </c>
      <c r="EE47" s="60">
        <f t="shared" si="48"/>
        <v>-301129393.6283474</v>
      </c>
      <c r="EF47" s="60">
        <f t="shared" si="48"/>
        <v>-282209593.26834738</v>
      </c>
      <c r="EG47" s="60">
        <f t="shared" si="48"/>
        <v>-282209593.26834738</v>
      </c>
      <c r="EH47" s="60">
        <f t="shared" si="48"/>
        <v>-282209593.26834738</v>
      </c>
      <c r="EI47" s="60">
        <f t="shared" si="48"/>
        <v>-282209593.26834738</v>
      </c>
      <c r="EJ47" s="60">
        <f t="shared" si="48"/>
        <v>-85723444.219999969</v>
      </c>
      <c r="EK47" s="60">
        <f t="shared" si="48"/>
        <v>-202188458.35999998</v>
      </c>
      <c r="EL47" s="60">
        <f t="shared" si="48"/>
        <v>-202646125.35999998</v>
      </c>
      <c r="EM47" s="60">
        <f t="shared" si="48"/>
        <v>-260805793.35999998</v>
      </c>
      <c r="EN47" s="60">
        <f t="shared" si="48"/>
        <v>-261352011.35999998</v>
      </c>
      <c r="EO47" s="60">
        <f t="shared" si="48"/>
        <v>-261352011.35999998</v>
      </c>
      <c r="EP47" s="60">
        <f t="shared" si="48"/>
        <v>-261352011.35999998</v>
      </c>
      <c r="EQ47" s="60">
        <f t="shared" si="48"/>
        <v>-261352011.35999998</v>
      </c>
      <c r="ER47" s="60">
        <f t="shared" si="48"/>
        <v>-269862660.53999996</v>
      </c>
      <c r="ES47" s="60">
        <f t="shared" si="48"/>
        <v>-288346881.75</v>
      </c>
      <c r="ET47" s="60">
        <f t="shared" si="48"/>
        <v>-288453623.75</v>
      </c>
      <c r="EU47" s="60">
        <f t="shared" si="48"/>
        <v>-288453623.75</v>
      </c>
    </row>
    <row r="48" spans="1:152" ht="15" customHeight="1" x14ac:dyDescent="0.25">
      <c r="A48" s="2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175"/>
      <c r="AT48" s="175"/>
      <c r="AU48" s="9"/>
      <c r="AV48" s="9"/>
      <c r="AW48" s="9"/>
      <c r="AX48" s="9"/>
      <c r="AY48" s="9"/>
      <c r="AZ48" s="9"/>
      <c r="BA48" s="9"/>
      <c r="BB48" s="9"/>
      <c r="BC48" s="9"/>
      <c r="BD48" s="9"/>
      <c r="BE48" s="9"/>
      <c r="BF48" s="9"/>
      <c r="BG48" s="9"/>
      <c r="BH48" s="9"/>
      <c r="BI48" s="9"/>
      <c r="BJ48" s="9"/>
      <c r="BK48" s="9"/>
      <c r="BL48" s="9"/>
      <c r="BM48" s="147"/>
      <c r="BN48" s="147"/>
      <c r="BO48" s="147"/>
      <c r="BP48" s="155"/>
      <c r="BQ48" s="147"/>
      <c r="BR48" s="147"/>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61"/>
      <c r="DA48" s="61"/>
      <c r="DB48" s="61"/>
      <c r="DC48" s="9"/>
      <c r="DD48" s="9"/>
      <c r="DE48" s="9"/>
      <c r="DF48" s="9"/>
      <c r="DG48" s="9"/>
      <c r="DH48" s="9"/>
      <c r="DI48" s="61"/>
      <c r="DJ48" s="61"/>
      <c r="DK48" s="61"/>
      <c r="DL48" s="61"/>
      <c r="DM48" s="61"/>
      <c r="DN48" s="61"/>
      <c r="DO48" s="9"/>
      <c r="DP48" s="9"/>
      <c r="DQ48" s="9"/>
      <c r="DR48" s="61"/>
      <c r="DS48" s="9"/>
      <c r="DT48" s="9"/>
      <c r="DU48" s="61"/>
      <c r="DV48" s="61"/>
      <c r="DW48" s="61"/>
      <c r="DX48" s="9"/>
      <c r="DY48" s="9"/>
      <c r="DZ48" s="9"/>
      <c r="EA48" s="9"/>
      <c r="EB48" s="9"/>
      <c r="EC48" s="9"/>
      <c r="ED48" s="9"/>
      <c r="EE48" s="9"/>
      <c r="EF48" s="9"/>
      <c r="EG48" s="59"/>
      <c r="EH48" s="59"/>
      <c r="EI48" s="59"/>
      <c r="EJ48" s="59"/>
      <c r="EK48" s="59"/>
      <c r="EL48" s="59"/>
      <c r="EM48" s="59"/>
      <c r="EN48" s="59"/>
      <c r="EO48" s="59"/>
      <c r="EP48" s="59"/>
      <c r="EQ48" s="59"/>
      <c r="ER48" s="59"/>
      <c r="ES48" s="59"/>
      <c r="ET48" s="59"/>
      <c r="EU48" s="59"/>
    </row>
    <row r="49" spans="1:151" ht="15" customHeight="1" x14ac:dyDescent="0.25">
      <c r="A49" s="28">
        <v>15</v>
      </c>
      <c r="B49" s="22" t="s">
        <v>12</v>
      </c>
      <c r="C49" s="171">
        <f t="shared" ref="C49:D49" si="49">SUM(C45:C47)</f>
        <v>-20722257.610000014</v>
      </c>
      <c r="D49" s="171">
        <f t="shared" si="49"/>
        <v>-76683982.610000014</v>
      </c>
      <c r="E49" s="171">
        <f t="shared" ref="E49:G49" si="50">SUM(E45:E47)</f>
        <v>-115250617</v>
      </c>
      <c r="F49" s="171">
        <f t="shared" si="50"/>
        <v>0</v>
      </c>
      <c r="G49" s="171">
        <f t="shared" si="50"/>
        <v>-61415295.370000005</v>
      </c>
      <c r="H49" s="171">
        <f t="shared" ref="H49:Q49" si="51">SUM(H45:H47)</f>
        <v>-121868244.19</v>
      </c>
      <c r="I49" s="171">
        <f t="shared" si="51"/>
        <v>-131274137.94</v>
      </c>
      <c r="J49" s="171">
        <f t="shared" si="51"/>
        <v>0</v>
      </c>
      <c r="K49" s="171">
        <f t="shared" si="51"/>
        <v>-51948476.939999998</v>
      </c>
      <c r="L49" s="171">
        <f t="shared" si="51"/>
        <v>-137262484.93999997</v>
      </c>
      <c r="M49" s="171">
        <f t="shared" si="51"/>
        <v>-160354523.94</v>
      </c>
      <c r="N49" s="171">
        <f t="shared" si="51"/>
        <v>0</v>
      </c>
      <c r="O49" s="171">
        <f t="shared" si="51"/>
        <v>-33145501.939999968</v>
      </c>
      <c r="P49" s="171">
        <f t="shared" si="51"/>
        <v>-130291179.48999998</v>
      </c>
      <c r="Q49" s="171">
        <f t="shared" si="51"/>
        <v>-145909800.08999997</v>
      </c>
      <c r="R49" s="171">
        <f>SUM(R45:R48)</f>
        <v>-154205802.08999997</v>
      </c>
      <c r="S49" s="171">
        <f>SUM(S45:S48)</f>
        <v>-163409022.08999997</v>
      </c>
      <c r="T49" s="171">
        <f>SUM(T45:T48)</f>
        <v>0</v>
      </c>
      <c r="U49" s="218">
        <f>-SUM(U45:U47)</f>
        <v>-75172539.74000001</v>
      </c>
      <c r="V49" s="171">
        <f>SUM(V45:V48)</f>
        <v>-110453453.19999999</v>
      </c>
      <c r="W49" s="171">
        <f t="shared" ref="W49:AB49" si="52">SUM(W45:W48)</f>
        <v>-112619613.29999998</v>
      </c>
      <c r="X49" s="171">
        <f t="shared" si="52"/>
        <v>-127088429.29999998</v>
      </c>
      <c r="Y49" s="171">
        <f t="shared" si="52"/>
        <v>-159646928.29999998</v>
      </c>
      <c r="Z49" s="171">
        <f t="shared" si="52"/>
        <v>-153653567.29999998</v>
      </c>
      <c r="AA49" s="171">
        <f t="shared" si="52"/>
        <v>-168182304.13</v>
      </c>
      <c r="AB49" s="171">
        <f t="shared" si="52"/>
        <v>-162852502.13</v>
      </c>
      <c r="AC49" s="174">
        <f>SUM(AC44:AC48)</f>
        <v>-171462066.88</v>
      </c>
      <c r="AD49" s="174">
        <f>SUM(AD44:AD48)</f>
        <v>-210536811.13</v>
      </c>
      <c r="AE49" s="174">
        <f>SUM(AE44:AE48)</f>
        <v>-220037048.13</v>
      </c>
      <c r="AF49" s="171">
        <v>0</v>
      </c>
      <c r="AG49" s="171">
        <f t="shared" ref="AG49:AQ49" si="53">SUM(AG44:AG48)</f>
        <v>-16759790.659999967</v>
      </c>
      <c r="AH49" s="171">
        <f t="shared" si="53"/>
        <v>-114508049.49999994</v>
      </c>
      <c r="AI49" s="171">
        <f t="shared" si="53"/>
        <v>-123674192.65999997</v>
      </c>
      <c r="AJ49" s="171">
        <f t="shared" si="53"/>
        <v>-132353794.65999997</v>
      </c>
      <c r="AK49" s="171">
        <f t="shared" si="53"/>
        <v>-156664965.65999997</v>
      </c>
      <c r="AL49" s="171">
        <f t="shared" si="53"/>
        <v>-141385707.13</v>
      </c>
      <c r="AM49" s="171">
        <f t="shared" si="53"/>
        <v>-150488406.13</v>
      </c>
      <c r="AN49" s="171">
        <f t="shared" si="53"/>
        <v>-163221896.38</v>
      </c>
      <c r="AO49" s="171">
        <f t="shared" si="53"/>
        <v>-158165315.38</v>
      </c>
      <c r="AP49" s="171">
        <f t="shared" si="53"/>
        <v>-166227177.38</v>
      </c>
      <c r="AQ49" s="171">
        <f t="shared" si="53"/>
        <v>-183507924.13</v>
      </c>
      <c r="AR49" s="174">
        <v>0</v>
      </c>
      <c r="AS49" s="171">
        <f>SUM(AS44:AS48)</f>
        <v>-39204798.129999965</v>
      </c>
      <c r="AT49" s="171">
        <f>SUM(AT44:AT48)</f>
        <v>-56929832.129999965</v>
      </c>
      <c r="AU49" s="171">
        <f t="shared" ref="AU49:AZ49" si="54">SUM(AU45:AU48)</f>
        <v>-66556686.659999996</v>
      </c>
      <c r="AV49" s="171">
        <f t="shared" si="54"/>
        <v>-67415934.169999987</v>
      </c>
      <c r="AW49" s="171">
        <f t="shared" si="54"/>
        <v>-118456980.31</v>
      </c>
      <c r="AX49" s="150">
        <f t="shared" si="54"/>
        <v>-119166132.01000001</v>
      </c>
      <c r="AY49" s="150">
        <f t="shared" si="54"/>
        <v>-134272312.38</v>
      </c>
      <c r="AZ49" s="150">
        <f t="shared" si="54"/>
        <v>-142696871.68000001</v>
      </c>
      <c r="BA49" s="150">
        <f t="shared" ref="BA49:BF49" si="55">SUM(BA45:BA48)</f>
        <v>-151323366.25999999</v>
      </c>
      <c r="BB49" s="150">
        <f t="shared" si="55"/>
        <v>-160955880.47</v>
      </c>
      <c r="BC49" s="150">
        <f t="shared" si="55"/>
        <v>-171227483.15000001</v>
      </c>
      <c r="BD49" s="150">
        <f t="shared" si="55"/>
        <v>0</v>
      </c>
      <c r="BE49" s="150">
        <f t="shared" si="55"/>
        <v>4999418.2600000203</v>
      </c>
      <c r="BF49" s="150">
        <f t="shared" si="55"/>
        <v>-47200481.73999998</v>
      </c>
      <c r="BG49" s="150">
        <f t="shared" ref="BG49:BL49" si="56">SUM(BG45:BG48)</f>
        <v>-55723457.74000001</v>
      </c>
      <c r="BH49" s="150">
        <f t="shared" si="56"/>
        <v>-64874879.74000001</v>
      </c>
      <c r="BI49" s="150">
        <f t="shared" si="56"/>
        <v>-108805131.27999999</v>
      </c>
      <c r="BJ49" s="150">
        <f t="shared" si="56"/>
        <v>-110439486.63</v>
      </c>
      <c r="BK49" s="150">
        <f t="shared" si="56"/>
        <v>-119293730.17999998</v>
      </c>
      <c r="BL49" s="150">
        <f t="shared" si="56"/>
        <v>-128324422.37999998</v>
      </c>
      <c r="BM49" s="150">
        <f t="shared" ref="BM49:BR49" si="57">SUM(BM45:BM48)</f>
        <v>-138108104.09999996</v>
      </c>
      <c r="BN49" s="150">
        <f t="shared" si="57"/>
        <v>-150498003.55999997</v>
      </c>
      <c r="BO49" s="150">
        <f t="shared" si="57"/>
        <v>-166435523.53999996</v>
      </c>
      <c r="BP49" s="156">
        <f t="shared" si="57"/>
        <v>3.166496753692627E-8</v>
      </c>
      <c r="BQ49" s="150">
        <f t="shared" si="57"/>
        <v>-63115162.549999967</v>
      </c>
      <c r="BR49" s="150">
        <f t="shared" si="57"/>
        <v>-113439763.45999998</v>
      </c>
      <c r="BS49" s="59">
        <f>SUM(BS45:BS47)</f>
        <v>-63469127.719999969</v>
      </c>
      <c r="BT49" s="59">
        <f t="shared" ref="BT49:CA49" si="58">SUM(BT45:BT47)</f>
        <v>-136043050.69999996</v>
      </c>
      <c r="BU49" s="59">
        <f t="shared" si="58"/>
        <v>-179901179.37</v>
      </c>
      <c r="BV49" s="59">
        <f t="shared" si="58"/>
        <v>-188112208.16</v>
      </c>
      <c r="BW49" s="59">
        <f t="shared" si="58"/>
        <v>-199137462.45999998</v>
      </c>
      <c r="BX49" s="59">
        <f t="shared" si="58"/>
        <v>-207851086.25999999</v>
      </c>
      <c r="BY49" s="59">
        <f t="shared" si="58"/>
        <v>-215546913.86999997</v>
      </c>
      <c r="BZ49" s="59">
        <f t="shared" si="58"/>
        <v>-225478601.72999999</v>
      </c>
      <c r="CA49" s="59">
        <f t="shared" si="58"/>
        <v>-237737881.03999996</v>
      </c>
      <c r="CB49" s="59">
        <f t="shared" ref="CB49:CG49" si="59">SUM(CB45:CB47)</f>
        <v>-51405330.469999939</v>
      </c>
      <c r="CC49" s="59">
        <f t="shared" si="59"/>
        <v>-66395418.959999979</v>
      </c>
      <c r="CD49" s="59">
        <f t="shared" si="59"/>
        <v>-115986044.83999988</v>
      </c>
      <c r="CE49" s="59">
        <f t="shared" si="59"/>
        <v>-125345004.7599999</v>
      </c>
      <c r="CF49" s="59">
        <f t="shared" si="59"/>
        <v>-141298529.70999989</v>
      </c>
      <c r="CG49" s="59">
        <f t="shared" si="59"/>
        <v>-184848367.70999989</v>
      </c>
      <c r="CH49" s="59">
        <f t="shared" ref="CH49:CM49" si="60">SUM(CH45:CH47)</f>
        <v>-193229041.70999989</v>
      </c>
      <c r="CI49" s="59">
        <f t="shared" si="60"/>
        <v>-209365397.81999987</v>
      </c>
      <c r="CJ49" s="59">
        <f t="shared" si="60"/>
        <v>-219109936.32999986</v>
      </c>
      <c r="CK49" s="59">
        <f t="shared" si="60"/>
        <v>-225842047.21999988</v>
      </c>
      <c r="CL49" s="59">
        <f t="shared" si="60"/>
        <v>-235888844.21999988</v>
      </c>
      <c r="CM49" s="59">
        <f t="shared" si="60"/>
        <v>-246442783.21999988</v>
      </c>
      <c r="CN49" s="59">
        <f t="shared" ref="CN49:EF49" si="61">SUM(CN45:CN47)</f>
        <v>-50163383.589999855</v>
      </c>
      <c r="CO49" s="59">
        <f t="shared" si="61"/>
        <v>-73971175.979999959</v>
      </c>
      <c r="CP49" s="59">
        <f t="shared" si="61"/>
        <v>-137853105.12999997</v>
      </c>
      <c r="CQ49" s="59">
        <f t="shared" si="61"/>
        <v>-151259582.12999997</v>
      </c>
      <c r="CR49" s="59">
        <f t="shared" si="61"/>
        <v>-160981271.20999998</v>
      </c>
      <c r="CS49" s="59">
        <f t="shared" si="61"/>
        <v>-225169473.59999996</v>
      </c>
      <c r="CT49" s="59">
        <f t="shared" si="61"/>
        <v>-231497779.88999999</v>
      </c>
      <c r="CU49" s="59">
        <f t="shared" si="61"/>
        <v>-234615045.88999999</v>
      </c>
      <c r="CV49" s="59">
        <f t="shared" si="61"/>
        <v>-243498041.88999999</v>
      </c>
      <c r="CW49" s="59">
        <f t="shared" si="61"/>
        <v>-191502417.74000001</v>
      </c>
      <c r="CX49" s="59">
        <f t="shared" si="61"/>
        <v>-209025465.24000001</v>
      </c>
      <c r="CY49" s="59">
        <f t="shared" si="61"/>
        <v>-221114661.96999997</v>
      </c>
      <c r="CZ49" s="59">
        <f t="shared" si="61"/>
        <v>-40047343.859999999</v>
      </c>
      <c r="DA49" s="59">
        <f t="shared" si="61"/>
        <v>-74813506.200000003</v>
      </c>
      <c r="DB49" s="59">
        <f t="shared" si="61"/>
        <v>-119084525.82999998</v>
      </c>
      <c r="DC49" s="59">
        <f t="shared" si="61"/>
        <v>-130889141.18000001</v>
      </c>
      <c r="DD49" s="59">
        <f t="shared" si="61"/>
        <v>-141393021.54000002</v>
      </c>
      <c r="DE49" s="59">
        <f t="shared" si="61"/>
        <v>-206371151.67000002</v>
      </c>
      <c r="DF49" s="59">
        <f t="shared" si="61"/>
        <v>-218058779.01000005</v>
      </c>
      <c r="DG49" s="59">
        <f t="shared" si="61"/>
        <v>-206401478.76000005</v>
      </c>
      <c r="DH49" s="59">
        <f t="shared" si="61"/>
        <v>-216864217.54000002</v>
      </c>
      <c r="DI49" s="59">
        <f t="shared" si="61"/>
        <v>-228286537.93000001</v>
      </c>
      <c r="DJ49" s="59">
        <f t="shared" si="61"/>
        <v>-233296413.48000002</v>
      </c>
      <c r="DK49" s="59">
        <f t="shared" si="61"/>
        <v>-246649458.48000002</v>
      </c>
      <c r="DL49" s="59">
        <f t="shared" si="61"/>
        <v>23309650.529999971</v>
      </c>
      <c r="DM49" s="59">
        <f t="shared" si="61"/>
        <v>-26284799.579999983</v>
      </c>
      <c r="DN49" s="59">
        <f t="shared" si="61"/>
        <v>-45748261.549999982</v>
      </c>
      <c r="DO49" s="59">
        <f t="shared" si="61"/>
        <v>-60285503.480000019</v>
      </c>
      <c r="DP49" s="59">
        <f t="shared" si="61"/>
        <v>-70813587.909999967</v>
      </c>
      <c r="DQ49" s="59">
        <f t="shared" si="61"/>
        <v>-134637621.83999997</v>
      </c>
      <c r="DR49" s="59">
        <f t="shared" si="61"/>
        <v>-103444821.18999994</v>
      </c>
      <c r="DS49" s="59">
        <f t="shared" si="61"/>
        <v>-92592770.689999938</v>
      </c>
      <c r="DT49" s="59">
        <f t="shared" si="61"/>
        <v>-127196394.48000002</v>
      </c>
      <c r="DU49" s="59">
        <f t="shared" si="61"/>
        <v>-127122933.17999995</v>
      </c>
      <c r="DV49" s="59">
        <f t="shared" si="61"/>
        <v>-137745923.17999995</v>
      </c>
      <c r="DW49" s="59">
        <f t="shared" si="61"/>
        <v>-152356497.17999995</v>
      </c>
      <c r="DX49" s="59">
        <f t="shared" si="61"/>
        <v>50762178.929999962</v>
      </c>
      <c r="DY49" s="59">
        <f t="shared" si="61"/>
        <v>-23383681.893902987</v>
      </c>
      <c r="DZ49" s="59">
        <f t="shared" si="61"/>
        <v>-89346993.338347435</v>
      </c>
      <c r="EA49" s="59">
        <f t="shared" si="61"/>
        <v>-43987766.338347435</v>
      </c>
      <c r="EB49" s="59">
        <f t="shared" si="61"/>
        <v>-59003480.338347435</v>
      </c>
      <c r="EC49" s="59">
        <f t="shared" si="61"/>
        <v>-118967702.69834742</v>
      </c>
      <c r="ED49" s="59">
        <f t="shared" si="61"/>
        <v>-131008250.69834742</v>
      </c>
      <c r="EE49" s="59">
        <f t="shared" si="61"/>
        <v>-141427491.45834741</v>
      </c>
      <c r="EF49" s="59">
        <f t="shared" si="61"/>
        <v>-127077080.57834738</v>
      </c>
      <c r="EG49" s="59">
        <f t="shared" ref="EG49:EM49" si="62">SUM(EG45:EG47)</f>
        <v>-134592686.02834737</v>
      </c>
      <c r="EH49" s="59">
        <f t="shared" si="62"/>
        <v>-144964636.02834737</v>
      </c>
      <c r="EI49" s="59">
        <f t="shared" si="62"/>
        <v>-155519225.52834737</v>
      </c>
      <c r="EJ49" s="59">
        <f t="shared" si="62"/>
        <v>33790202.340000033</v>
      </c>
      <c r="EK49" s="59">
        <f t="shared" si="62"/>
        <v>-10465301.979999989</v>
      </c>
      <c r="EL49" s="59">
        <f t="shared" si="62"/>
        <v>-19201193.979999989</v>
      </c>
      <c r="EM49" s="59">
        <f t="shared" si="62"/>
        <v>-30915250.979999989</v>
      </c>
      <c r="EN49" s="59">
        <f t="shared" ref="EN49:EU49" si="63">SUM(EN45:EN47)</f>
        <v>-43743496.979999989</v>
      </c>
      <c r="EO49" s="59">
        <f>SUM(EO45:EO47)</f>
        <v>-103826280.97999999</v>
      </c>
      <c r="EP49" s="59">
        <f t="shared" si="63"/>
        <v>-116096829.97999999</v>
      </c>
      <c r="EQ49" s="59">
        <f t="shared" si="63"/>
        <v>-128754140.97999999</v>
      </c>
      <c r="ER49" s="59">
        <f t="shared" si="63"/>
        <v>-134733730.15999997</v>
      </c>
      <c r="ES49" s="59">
        <f t="shared" si="63"/>
        <v>-159111774.37</v>
      </c>
      <c r="ET49" s="59">
        <f t="shared" si="63"/>
        <v>-169602723.37</v>
      </c>
      <c r="EU49" s="59">
        <f t="shared" si="63"/>
        <v>-180564617.37</v>
      </c>
    </row>
    <row r="50" spans="1:151" ht="15" customHeight="1" x14ac:dyDescent="0.25">
      <c r="A50" s="28"/>
      <c r="B50" s="23" t="s">
        <v>11</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89" t="s">
        <v>23</v>
      </c>
      <c r="AD50" s="89" t="s">
        <v>23</v>
      </c>
      <c r="AE50" s="89" t="s">
        <v>23</v>
      </c>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89"/>
      <c r="DA50" s="89"/>
      <c r="DB50" s="89"/>
      <c r="DC50" s="23"/>
      <c r="DD50" s="23"/>
      <c r="DE50" s="23"/>
      <c r="DF50" s="23"/>
      <c r="DG50" s="23"/>
      <c r="DH50" s="23"/>
      <c r="DI50" s="89"/>
      <c r="DJ50" s="23"/>
      <c r="DK50" s="23"/>
      <c r="DL50" s="89"/>
      <c r="DM50" s="89"/>
      <c r="DN50" s="23"/>
      <c r="DO50" s="23"/>
      <c r="DP50" s="23"/>
      <c r="DQ50" s="23"/>
      <c r="DR50" s="23"/>
      <c r="DS50" s="23"/>
      <c r="DT50" s="23"/>
      <c r="DU50" s="89"/>
      <c r="DV50" s="89"/>
      <c r="DW50" s="89"/>
      <c r="DX50" s="23"/>
      <c r="DY50" s="23"/>
      <c r="DZ50" s="23"/>
      <c r="EA50" s="23"/>
      <c r="EB50" s="23"/>
      <c r="EC50" s="23"/>
      <c r="ED50" s="23"/>
      <c r="EE50" s="23"/>
      <c r="EF50" s="23"/>
      <c r="EG50" s="14"/>
      <c r="EH50" s="14"/>
      <c r="EI50" s="14"/>
      <c r="EJ50" s="14"/>
      <c r="EK50" s="14"/>
      <c r="EL50" s="14"/>
      <c r="EM50" s="14"/>
      <c r="EN50" s="14"/>
      <c r="EO50" s="14"/>
      <c r="EP50" s="14"/>
      <c r="EQ50" s="14"/>
      <c r="ER50" s="14"/>
      <c r="ES50" s="14"/>
      <c r="ET50" s="14"/>
      <c r="EU50" s="14"/>
    </row>
    <row r="51" spans="1:151" ht="15" customHeight="1" x14ac:dyDescent="0.25">
      <c r="A51" s="28"/>
      <c r="B51" s="9"/>
      <c r="C51" s="9"/>
      <c r="D51" s="9"/>
      <c r="E51" s="9"/>
      <c r="F51" s="9"/>
      <c r="G51" s="9"/>
      <c r="H51" s="9"/>
      <c r="I51" s="9"/>
      <c r="J51" s="9"/>
      <c r="K51" s="9"/>
      <c r="L51" s="9"/>
      <c r="M51" s="9"/>
      <c r="N51" s="9"/>
      <c r="O51" s="9"/>
      <c r="P51" s="9"/>
      <c r="Q51" s="9"/>
      <c r="R51" s="222"/>
      <c r="S51" s="9"/>
      <c r="T51" s="9"/>
      <c r="U51" s="9"/>
      <c r="V51" s="9" t="s">
        <v>23</v>
      </c>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7" t="s">
        <v>34</v>
      </c>
      <c r="CB51" s="9" t="s">
        <v>23</v>
      </c>
      <c r="CC51" s="9"/>
      <c r="CD51" s="9"/>
      <c r="CE51" s="9"/>
      <c r="CF51" s="9"/>
      <c r="CG51" s="9"/>
      <c r="CH51" s="9"/>
      <c r="CI51" s="9"/>
      <c r="CJ51" s="9"/>
      <c r="CK51" s="9"/>
      <c r="CL51" s="9"/>
      <c r="CM51" s="9"/>
      <c r="CN51" s="9"/>
      <c r="CO51" s="9"/>
      <c r="CP51" s="9"/>
      <c r="CQ51" s="9"/>
      <c r="CR51" s="9"/>
      <c r="CS51" s="9"/>
      <c r="CT51" s="9"/>
      <c r="CU51" s="9"/>
      <c r="CV51" s="9"/>
      <c r="CW51" s="9"/>
      <c r="CX51" s="9"/>
      <c r="CY51" s="9"/>
      <c r="CZ51" s="61"/>
      <c r="DA51" s="61"/>
      <c r="DB51" s="61"/>
      <c r="DC51" s="9"/>
      <c r="DD51" s="9"/>
      <c r="DE51" s="9"/>
      <c r="DF51" s="9"/>
      <c r="DG51" s="9"/>
      <c r="DH51" s="9"/>
      <c r="DI51" s="9"/>
      <c r="DJ51" s="9"/>
      <c r="DK51" s="9"/>
      <c r="DL51" s="114"/>
      <c r="DM51" s="114"/>
      <c r="DN51" s="9"/>
      <c r="DO51" s="114"/>
      <c r="DP51" s="114"/>
      <c r="DQ51" s="9"/>
      <c r="DR51" s="9"/>
      <c r="DS51" s="9"/>
      <c r="DT51" s="9"/>
      <c r="DU51" s="61"/>
      <c r="DV51" s="61"/>
      <c r="DW51" s="61"/>
      <c r="DZ51" s="71"/>
      <c r="EA51" s="9"/>
      <c r="EB51" s="9"/>
      <c r="EC51" s="9"/>
      <c r="ED51" s="9"/>
      <c r="EE51" s="9"/>
      <c r="EF51" s="71"/>
      <c r="EG51" s="14"/>
      <c r="EH51" s="14"/>
      <c r="EI51" s="14"/>
      <c r="EJ51" s="14"/>
      <c r="EK51" s="14"/>
      <c r="EL51" s="14"/>
      <c r="EN51" s="14"/>
      <c r="EO51" s="14"/>
      <c r="EP51" s="14"/>
      <c r="EQ51" s="14"/>
      <c r="ER51" s="14"/>
      <c r="ES51" s="14"/>
      <c r="ET51" s="14"/>
      <c r="EU51" s="14"/>
    </row>
    <row r="52" spans="1:151" ht="15" customHeight="1" x14ac:dyDescent="0.25">
      <c r="A52" s="28"/>
      <c r="B52" s="24"/>
      <c r="C52" s="24"/>
      <c r="D52" s="24"/>
      <c r="E52" s="24"/>
      <c r="F52" s="24"/>
      <c r="G52" s="24"/>
      <c r="H52" s="24"/>
      <c r="I52" s="24"/>
      <c r="J52" s="24"/>
      <c r="K52" s="24"/>
      <c r="L52" s="24"/>
      <c r="M52" s="205">
        <f>'Attachment A'!D48</f>
        <v>-104183982.61000001</v>
      </c>
      <c r="N52" s="79" t="s">
        <v>20</v>
      </c>
      <c r="S52" s="24"/>
      <c r="V52" s="24"/>
      <c r="W52" s="24"/>
      <c r="X52" s="24"/>
      <c r="Y52" s="24"/>
      <c r="AB52" s="24"/>
      <c r="AE52" s="24"/>
      <c r="AF52" s="24"/>
      <c r="AG52" s="24"/>
      <c r="AH52" s="24" t="s">
        <v>40</v>
      </c>
      <c r="AK52" s="24"/>
      <c r="AN52" s="24"/>
      <c r="AQ52" s="177"/>
      <c r="AT52" s="24"/>
      <c r="AW52" s="24"/>
      <c r="AZ52" s="24"/>
      <c r="BC52" s="24"/>
      <c r="BF52" s="24"/>
      <c r="BI52" s="24"/>
      <c r="BL52" s="24"/>
      <c r="BO52" s="24"/>
      <c r="BP52" s="24"/>
      <c r="BQ52" s="24"/>
      <c r="BR52" s="24"/>
      <c r="BU52" s="24"/>
      <c r="BX52" s="24"/>
      <c r="CA52" s="145"/>
      <c r="CB52" s="146" t="s">
        <v>23</v>
      </c>
      <c r="CC52" s="24"/>
      <c r="CD52" s="24"/>
      <c r="CG52" s="24"/>
      <c r="CH52" s="24"/>
      <c r="CI52" s="24"/>
      <c r="CJ52" s="24"/>
      <c r="CM52" s="24"/>
      <c r="CN52" s="25"/>
      <c r="CO52" s="25"/>
      <c r="CP52" s="24"/>
      <c r="CS52" s="24"/>
      <c r="CV52" s="24"/>
      <c r="CY52" s="24"/>
      <c r="DB52" s="90"/>
      <c r="DE52" s="24"/>
      <c r="DH52" s="24"/>
      <c r="DK52" s="24"/>
      <c r="DL52" s="72"/>
      <c r="DM52" s="68"/>
      <c r="DN52" s="24"/>
      <c r="DO52" s="72"/>
      <c r="DP52" s="68"/>
      <c r="DQ52" s="24"/>
      <c r="DR52" s="24"/>
      <c r="DS52" s="24"/>
      <c r="DT52" s="72"/>
      <c r="DU52" s="68"/>
      <c r="DV52" s="90"/>
      <c r="DW52" s="90"/>
      <c r="DZ52" s="82"/>
      <c r="EA52" s="83"/>
      <c r="EB52" s="8" t="s">
        <v>23</v>
      </c>
      <c r="EC52" s="24"/>
      <c r="EF52" s="72" t="s">
        <v>23</v>
      </c>
      <c r="EI52" s="8"/>
      <c r="EJ52" s="14"/>
      <c r="EL52" s="15"/>
      <c r="EO52" s="15"/>
      <c r="EP52" s="15"/>
      <c r="EQ52" s="15"/>
      <c r="ER52" s="15"/>
      <c r="ES52" s="15"/>
      <c r="ET52" s="15"/>
      <c r="EU52" s="15"/>
    </row>
    <row r="53" spans="1:151" ht="15" customHeight="1" x14ac:dyDescent="0.25">
      <c r="A53" s="28"/>
      <c r="B53" s="25"/>
      <c r="C53" s="25"/>
      <c r="D53" s="91"/>
      <c r="E53" s="25"/>
      <c r="F53" s="25"/>
      <c r="G53" s="25"/>
      <c r="H53" s="25"/>
      <c r="I53" s="25"/>
      <c r="J53" s="25"/>
      <c r="K53" s="25"/>
      <c r="L53" s="25"/>
      <c r="M53" s="58">
        <f>M49</f>
        <v>-160354523.94</v>
      </c>
      <c r="N53" s="80" t="s">
        <v>51</v>
      </c>
      <c r="S53" s="25"/>
      <c r="V53" s="25"/>
      <c r="W53" s="25"/>
      <c r="X53" s="25"/>
      <c r="Y53" s="25"/>
      <c r="AB53" s="25"/>
      <c r="AE53" s="25"/>
      <c r="AF53" s="25"/>
      <c r="AG53" s="25"/>
      <c r="AH53" s="25"/>
      <c r="AK53" s="25"/>
      <c r="AN53" s="25" t="s">
        <v>23</v>
      </c>
      <c r="AQ53" s="178"/>
      <c r="AT53" s="25" t="s">
        <v>23</v>
      </c>
      <c r="AW53" s="25"/>
      <c r="AZ53" s="25"/>
      <c r="BC53" s="25"/>
      <c r="BF53" s="25"/>
      <c r="BI53" s="25"/>
      <c r="BL53" s="25"/>
      <c r="BO53" s="25"/>
      <c r="BP53" s="25"/>
      <c r="BQ53" s="25"/>
      <c r="BR53" s="25"/>
      <c r="BU53" s="25"/>
      <c r="BX53" s="25"/>
      <c r="CA53" s="26" t="s">
        <v>23</v>
      </c>
      <c r="CB53" s="25"/>
      <c r="CC53" s="25"/>
      <c r="CD53" s="25"/>
      <c r="CG53" s="25"/>
      <c r="CH53" s="25"/>
      <c r="CI53" s="25"/>
      <c r="CJ53" s="25"/>
      <c r="CM53" s="25"/>
      <c r="CN53" s="25"/>
      <c r="CO53" s="25"/>
      <c r="CP53" s="25"/>
      <c r="CS53" s="25"/>
      <c r="CV53" s="25"/>
      <c r="CY53" s="25"/>
      <c r="DB53" s="91"/>
      <c r="DE53" s="25"/>
      <c r="DH53" s="25"/>
      <c r="DK53" s="25"/>
      <c r="DL53" s="81"/>
      <c r="DM53" s="113"/>
      <c r="DN53" s="25"/>
      <c r="DO53" s="81"/>
      <c r="DP53" s="113"/>
      <c r="DQ53" s="25"/>
      <c r="DR53" s="25"/>
      <c r="DS53" s="25"/>
      <c r="DT53" s="81"/>
      <c r="DU53" s="113"/>
      <c r="DV53" s="91"/>
      <c r="DW53" s="91"/>
      <c r="DZ53" s="81"/>
      <c r="EB53" s="8" t="s">
        <v>23</v>
      </c>
      <c r="EC53" s="25"/>
      <c r="EF53" s="25"/>
      <c r="EI53" s="8"/>
      <c r="EJ53" s="14"/>
      <c r="EL53" s="8"/>
      <c r="EO53" s="8"/>
      <c r="EP53" s="8"/>
      <c r="EQ53" s="8"/>
      <c r="ER53" s="8"/>
      <c r="ES53" s="8"/>
      <c r="ET53" s="8"/>
      <c r="EU53" s="8"/>
    </row>
    <row r="54" spans="1:151" ht="9" customHeight="1" x14ac:dyDescent="0.25">
      <c r="A54" s="28"/>
      <c r="B54" s="9"/>
      <c r="C54" s="9"/>
      <c r="D54" s="9"/>
      <c r="E54" s="9"/>
      <c r="F54" s="9"/>
      <c r="G54" s="9"/>
      <c r="H54" s="9"/>
      <c r="I54" s="9"/>
      <c r="J54" s="9"/>
      <c r="K54" s="9"/>
      <c r="L54" s="9"/>
      <c r="M54" s="9"/>
      <c r="N54" s="9"/>
      <c r="O54" s="9"/>
      <c r="P54" s="9"/>
      <c r="Q54" s="9"/>
      <c r="R54" s="9"/>
      <c r="S54" s="9"/>
      <c r="T54" s="9"/>
      <c r="U54" s="9"/>
      <c r="V54" s="9"/>
      <c r="W54" s="9" t="s">
        <v>23</v>
      </c>
      <c r="X54" s="9"/>
      <c r="Y54" s="9"/>
      <c r="Z54" s="9"/>
      <c r="AA54" s="9"/>
      <c r="AB54" s="9"/>
      <c r="AC54" s="9"/>
      <c r="AD54" s="9"/>
      <c r="AE54" s="9"/>
      <c r="AF54" s="9"/>
      <c r="AG54" s="9"/>
      <c r="AH54" s="9"/>
      <c r="AI54" s="9"/>
      <c r="AJ54" s="9"/>
      <c r="AK54" s="9"/>
      <c r="AL54" s="9"/>
      <c r="AM54" s="9"/>
      <c r="AN54" s="9" t="s">
        <v>23</v>
      </c>
      <c r="AO54" s="114"/>
      <c r="AP54" s="114"/>
      <c r="AQ54" s="114"/>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61"/>
      <c r="DA54" s="61"/>
      <c r="DB54" s="61"/>
      <c r="DC54" s="9"/>
      <c r="DD54" s="9"/>
      <c r="DE54" s="9"/>
      <c r="DF54" s="9"/>
      <c r="DG54" s="9"/>
      <c r="DH54" s="9"/>
      <c r="DI54" s="61"/>
      <c r="DJ54" s="9"/>
      <c r="DK54" s="9"/>
      <c r="DL54" s="9"/>
      <c r="DM54" s="9"/>
      <c r="DN54" s="9"/>
      <c r="DO54" s="9"/>
      <c r="DP54" s="9"/>
      <c r="DQ54" s="9"/>
      <c r="DR54" s="9"/>
      <c r="DS54" s="9"/>
      <c r="DV54" s="9"/>
      <c r="DW54" s="9"/>
      <c r="DX54" s="9"/>
      <c r="DY54" s="9"/>
      <c r="DZ54" s="9"/>
      <c r="EA54" s="9"/>
      <c r="EB54" s="9"/>
      <c r="EC54" s="9"/>
      <c r="ED54" s="9"/>
      <c r="EE54" s="9"/>
      <c r="EF54" s="9"/>
      <c r="EG54" s="8"/>
      <c r="EH54" s="8"/>
      <c r="EI54" s="8"/>
      <c r="EJ54" s="8"/>
      <c r="EK54" s="8"/>
      <c r="EL54" s="8"/>
      <c r="EM54" s="8"/>
      <c r="EN54" s="8"/>
      <c r="EO54" s="8"/>
      <c r="EP54" s="8"/>
      <c r="EQ54" s="8"/>
      <c r="ER54" s="8"/>
      <c r="ES54" s="8"/>
      <c r="ET54" s="8"/>
      <c r="EU54" s="8"/>
    </row>
    <row r="55" spans="1:151" ht="24" customHeight="1" x14ac:dyDescent="0.3">
      <c r="A55" s="28"/>
      <c r="B55" s="207"/>
      <c r="C55" s="207"/>
      <c r="D55" s="207"/>
      <c r="E55" s="207"/>
      <c r="F55" s="207"/>
      <c r="G55" s="207"/>
      <c r="H55" s="207"/>
      <c r="I55" s="207"/>
      <c r="J55" s="207"/>
      <c r="K55" s="207"/>
      <c r="L55" s="207"/>
      <c r="M55" s="224">
        <f>M52-M53</f>
        <v>56170541.329999983</v>
      </c>
      <c r="Q55" s="207"/>
      <c r="R55" s="207"/>
      <c r="S55" s="207"/>
      <c r="T55" s="207"/>
      <c r="U55" s="207"/>
      <c r="V55" s="207"/>
      <c r="W55" s="207"/>
      <c r="X55" s="207"/>
      <c r="Y55" s="207"/>
      <c r="Z55" s="25"/>
      <c r="AA55" s="25"/>
      <c r="AB55" s="25"/>
      <c r="AC55" s="25"/>
      <c r="AD55" s="25"/>
      <c r="AE55" s="25"/>
      <c r="AF55" s="25"/>
      <c r="AG55" s="25"/>
      <c r="AH55" s="25"/>
      <c r="AI55" s="25"/>
      <c r="AJ55" s="25"/>
      <c r="AK55" s="185"/>
      <c r="AL55" s="25"/>
      <c r="AM55" s="25"/>
      <c r="AN55" s="25" t="s">
        <v>23</v>
      </c>
      <c r="AO55" s="178"/>
      <c r="AP55" s="178"/>
      <c r="AQ55" s="178"/>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91"/>
      <c r="DA55" s="91"/>
      <c r="DB55" s="91"/>
      <c r="DC55" s="25"/>
      <c r="DD55" s="25"/>
      <c r="DE55" s="25"/>
      <c r="DF55" s="25"/>
      <c r="DG55" s="25"/>
      <c r="DH55" s="25"/>
      <c r="DI55" s="91"/>
      <c r="DJ55" s="25"/>
      <c r="DK55" s="25"/>
      <c r="DL55" s="25"/>
      <c r="DM55" s="25"/>
      <c r="DN55" s="25"/>
      <c r="DO55" s="25"/>
      <c r="DP55" s="25"/>
      <c r="DQ55" s="25"/>
      <c r="DR55" s="25"/>
      <c r="DS55" s="25"/>
      <c r="DT55" s="25"/>
      <c r="DU55" s="25"/>
      <c r="DV55" s="25"/>
      <c r="DW55" s="25"/>
      <c r="DX55" s="25"/>
      <c r="DY55" s="25"/>
      <c r="DZ55" s="25"/>
      <c r="EA55" s="77" t="s">
        <v>23</v>
      </c>
      <c r="EB55" s="25"/>
      <c r="EC55" s="25"/>
      <c r="ED55" s="73" t="e">
        <f>+ED41-'Attachment A'!#REF!</f>
        <v>#REF!</v>
      </c>
      <c r="EE55" s="73" t="e">
        <f>+EE41-'Attachment A'!#REF!</f>
        <v>#REF!</v>
      </c>
      <c r="EF55" s="25"/>
      <c r="EG55" s="8"/>
      <c r="EH55" s="8"/>
      <c r="EI55" s="8"/>
      <c r="EJ55" s="8"/>
      <c r="EK55" s="8"/>
      <c r="EL55" s="8"/>
      <c r="EM55" s="8"/>
      <c r="EN55" s="8"/>
      <c r="EO55" s="8"/>
      <c r="EP55" s="8"/>
      <c r="EQ55" s="8"/>
      <c r="ER55" s="8"/>
      <c r="ES55" s="8"/>
      <c r="ET55" s="8"/>
      <c r="EU55" s="8"/>
    </row>
    <row r="56" spans="1:151" ht="9" customHeight="1" x14ac:dyDescent="0.25">
      <c r="A56" s="28"/>
      <c r="B56" s="26" t="s">
        <v>23</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t="s">
        <v>23</v>
      </c>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110"/>
      <c r="DA56" s="110"/>
      <c r="DB56" s="110"/>
      <c r="DC56" s="26"/>
      <c r="DD56" s="26"/>
      <c r="DE56" s="26"/>
      <c r="DF56" s="26"/>
      <c r="DG56" s="26"/>
      <c r="DH56" s="26"/>
      <c r="DI56" s="110"/>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8"/>
      <c r="EH56" s="8"/>
      <c r="EI56" s="8"/>
      <c r="EJ56" s="8"/>
      <c r="EK56" s="8"/>
      <c r="EL56" s="8"/>
      <c r="EM56" s="8"/>
      <c r="EN56" s="8"/>
      <c r="EO56" s="8"/>
      <c r="EP56" s="8"/>
      <c r="EQ56" s="8"/>
      <c r="ER56" s="8"/>
      <c r="ES56" s="8"/>
      <c r="ET56" s="8"/>
      <c r="EU56" s="8"/>
    </row>
    <row r="57" spans="1:151" ht="15" customHeight="1" x14ac:dyDescent="0.25">
      <c r="A57" s="28"/>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111"/>
      <c r="DA57" s="111"/>
      <c r="DB57" s="111"/>
      <c r="DC57" s="27"/>
      <c r="DD57" s="27"/>
      <c r="DE57" s="27"/>
      <c r="DF57" s="27"/>
      <c r="DG57" s="27"/>
      <c r="DH57" s="27"/>
      <c r="DI57" s="111"/>
      <c r="DJ57" s="27"/>
      <c r="DK57" s="27"/>
      <c r="DL57" s="27"/>
      <c r="DM57" s="27"/>
      <c r="DN57" s="27"/>
      <c r="DO57" s="27"/>
      <c r="DP57" s="27"/>
      <c r="DQ57" s="27"/>
      <c r="DR57" s="27"/>
      <c r="DS57" s="27"/>
      <c r="DT57" s="27"/>
      <c r="DU57" s="61"/>
      <c r="DV57" s="27"/>
      <c r="DW57" s="27"/>
      <c r="DX57" s="27"/>
      <c r="DY57" s="27"/>
      <c r="DZ57" s="27"/>
      <c r="EA57" s="27"/>
      <c r="EB57" s="27"/>
      <c r="EC57" s="27"/>
      <c r="ED57" s="27"/>
      <c r="EE57" s="27"/>
      <c r="EF57" s="27"/>
      <c r="EG57" s="8"/>
      <c r="EH57" s="8"/>
      <c r="EI57" s="8"/>
      <c r="EJ57" s="8"/>
      <c r="EK57" s="8"/>
      <c r="EL57" s="8"/>
      <c r="EM57" s="8"/>
      <c r="EN57" s="8"/>
      <c r="EO57" s="8"/>
      <c r="EP57" s="8"/>
      <c r="EQ57" s="8"/>
      <c r="ER57" s="8"/>
      <c r="ES57" s="8"/>
      <c r="ET57" s="8"/>
      <c r="EU57" s="8"/>
    </row>
    <row r="58" spans="1:151" ht="15" customHeight="1" x14ac:dyDescent="0.25">
      <c r="A58" s="2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5"/>
      <c r="DA58" s="85"/>
      <c r="DB58" s="85"/>
      <c r="DC58" s="8"/>
      <c r="DD58" s="8"/>
      <c r="DE58" s="8"/>
      <c r="DF58" s="8"/>
      <c r="DG58" s="8"/>
      <c r="DH58" s="8"/>
      <c r="DI58" s="85"/>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row>
    <row r="59" spans="1:151" ht="16.149999999999999" customHeight="1" x14ac:dyDescent="0.25">
      <c r="A59" s="28"/>
      <c r="B59" s="2" t="s">
        <v>23</v>
      </c>
      <c r="AA59" s="2" t="s">
        <v>23</v>
      </c>
      <c r="CZ59" s="4"/>
      <c r="DA59" s="4"/>
      <c r="DB59" s="4"/>
    </row>
    <row r="60" spans="1:151" ht="16.149999999999999" customHeight="1" x14ac:dyDescent="0.25">
      <c r="A60" s="28"/>
      <c r="B60" s="3"/>
      <c r="C60" s="3"/>
      <c r="D60" s="3"/>
      <c r="E60" s="3"/>
      <c r="F60" s="3"/>
      <c r="G60" s="3"/>
      <c r="H60" s="3"/>
      <c r="I60" s="3"/>
      <c r="J60" s="3"/>
      <c r="K60" s="3"/>
      <c r="L60" s="3"/>
      <c r="M60" s="3"/>
      <c r="N60" s="3"/>
      <c r="O60" s="3"/>
      <c r="P60" s="3"/>
      <c r="Q60" s="3"/>
      <c r="R60" s="3"/>
      <c r="S60" s="3"/>
      <c r="T60" s="3"/>
      <c r="U60" s="208"/>
      <c r="V60" s="208"/>
      <c r="W60" s="3"/>
      <c r="X60" s="3"/>
      <c r="Y60" s="3"/>
      <c r="Z60" s="208"/>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112"/>
      <c r="DA60" s="112"/>
      <c r="DB60" s="112"/>
      <c r="DC60" s="3"/>
      <c r="DD60" s="3"/>
      <c r="DE60" s="3"/>
      <c r="DF60" s="3"/>
      <c r="DG60" s="3"/>
      <c r="DH60" s="3"/>
      <c r="DI60" s="112"/>
      <c r="DJ60" s="3"/>
      <c r="DK60" s="3"/>
      <c r="DL60" s="3"/>
      <c r="DM60" s="3"/>
      <c r="DN60" s="3"/>
      <c r="DO60" s="3" t="s">
        <v>23</v>
      </c>
      <c r="DP60" s="3"/>
      <c r="DQ60" s="3"/>
      <c r="DR60" s="3"/>
      <c r="DS60" s="3"/>
      <c r="DT60" s="3"/>
      <c r="DU60" s="3"/>
      <c r="DV60" s="3"/>
      <c r="DW60" s="3"/>
      <c r="DX60" s="3"/>
      <c r="DY60" s="3"/>
      <c r="DZ60" s="3"/>
      <c r="EA60" s="3"/>
      <c r="EB60" s="3"/>
      <c r="EC60" s="3"/>
      <c r="ED60" s="3"/>
      <c r="EE60" s="3"/>
      <c r="EF60" s="3"/>
    </row>
    <row r="61" spans="1:151" ht="16.149999999999999" customHeight="1" x14ac:dyDescent="0.25">
      <c r="A61" s="28"/>
      <c r="CZ61" s="4"/>
      <c r="DA61" s="4"/>
      <c r="DB61" s="4"/>
    </row>
    <row r="62" spans="1:151" ht="16.149999999999999" customHeight="1" x14ac:dyDescent="0.25">
      <c r="A62" s="28"/>
      <c r="CZ62" s="4"/>
      <c r="DA62" s="4"/>
      <c r="DB62" s="4"/>
      <c r="EG62" s="5"/>
      <c r="EH62" s="5"/>
      <c r="EI62" s="5"/>
      <c r="EJ62" s="5"/>
      <c r="EK62" s="5"/>
      <c r="EL62" s="5"/>
      <c r="EM62" s="5"/>
      <c r="EN62" s="5"/>
      <c r="EO62" s="5"/>
      <c r="EP62" s="5"/>
      <c r="EQ62" s="5"/>
      <c r="ER62" s="5"/>
      <c r="ES62" s="5"/>
      <c r="ET62" s="5"/>
      <c r="EU62" s="5"/>
    </row>
    <row r="63" spans="1:151" ht="16.149999999999999" customHeight="1" x14ac:dyDescent="0.25">
      <c r="A63" s="28"/>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Z63" s="4"/>
      <c r="DA63" s="4"/>
      <c r="DB63" s="4"/>
      <c r="EG63" s="5"/>
      <c r="EH63" s="5"/>
      <c r="EI63" s="5"/>
      <c r="EJ63" s="5"/>
      <c r="EK63" s="5"/>
      <c r="EL63" s="5"/>
      <c r="EM63" s="5"/>
      <c r="EN63" s="5"/>
      <c r="EO63" s="5"/>
      <c r="EP63" s="5"/>
      <c r="EQ63" s="5"/>
      <c r="ER63" s="5"/>
      <c r="ES63" s="5"/>
      <c r="ET63" s="5"/>
      <c r="EU63" s="5"/>
    </row>
    <row r="64" spans="1:151" ht="16.149999999999999" customHeight="1" x14ac:dyDescent="0.25">
      <c r="A64" s="28"/>
      <c r="V64" s="2" t="s">
        <v>23</v>
      </c>
      <c r="CZ64" s="4"/>
      <c r="DA64" s="4"/>
      <c r="DB64" s="4"/>
      <c r="EG64" s="5"/>
      <c r="EH64" s="5"/>
      <c r="EI64" s="5"/>
      <c r="EJ64" s="5"/>
      <c r="EK64" s="5"/>
      <c r="EL64" s="5"/>
      <c r="EM64" s="5"/>
      <c r="EN64" s="5"/>
      <c r="EO64" s="5"/>
      <c r="EP64" s="5"/>
      <c r="EQ64" s="5"/>
      <c r="ER64" s="5"/>
      <c r="ES64" s="5"/>
      <c r="ET64" s="5"/>
      <c r="EU64" s="5"/>
    </row>
    <row r="65" spans="1:151" ht="16.149999999999999" customHeight="1" x14ac:dyDescent="0.25">
      <c r="A65" s="28"/>
      <c r="V65" s="2" t="s">
        <v>23</v>
      </c>
      <c r="CZ65" s="4"/>
      <c r="DA65" s="4"/>
      <c r="DB65" s="4"/>
      <c r="EG65" s="5"/>
      <c r="EH65" s="5"/>
      <c r="EI65" s="5"/>
      <c r="EJ65" s="5"/>
      <c r="EK65" s="5"/>
      <c r="EL65" s="5"/>
      <c r="EM65" s="5"/>
      <c r="EN65" s="5"/>
      <c r="EO65" s="5"/>
      <c r="EP65" s="5"/>
      <c r="EQ65" s="5"/>
      <c r="ER65" s="5"/>
      <c r="ES65" s="5"/>
      <c r="ET65" s="5"/>
      <c r="EU65" s="5"/>
    </row>
    <row r="66" spans="1:151" ht="16.149999999999999" customHeight="1" x14ac:dyDescent="0.25">
      <c r="A66" s="28"/>
      <c r="CZ66" s="4"/>
      <c r="DA66" s="4"/>
      <c r="DB66" s="4"/>
      <c r="EG66" s="5"/>
      <c r="EH66" s="5"/>
      <c r="EI66" s="5"/>
      <c r="EJ66" s="5"/>
      <c r="EK66" s="5"/>
      <c r="EL66" s="5"/>
      <c r="EM66" s="5"/>
      <c r="EN66" s="5"/>
      <c r="EO66" s="5"/>
      <c r="EP66" s="5"/>
      <c r="EQ66" s="5"/>
      <c r="ER66" s="5"/>
      <c r="ES66" s="5"/>
      <c r="ET66" s="5"/>
      <c r="EU66" s="5"/>
    </row>
    <row r="67" spans="1:151" ht="16.149999999999999" customHeight="1" x14ac:dyDescent="0.25">
      <c r="A67" s="28"/>
      <c r="CZ67" s="4"/>
      <c r="DA67" s="4"/>
      <c r="DB67" s="4"/>
      <c r="EG67" s="6"/>
      <c r="EH67" s="6"/>
      <c r="EI67" s="6"/>
      <c r="EJ67" s="6"/>
      <c r="EK67" s="6"/>
      <c r="EL67" s="6"/>
      <c r="EM67" s="6"/>
      <c r="EN67" s="6"/>
      <c r="EO67" s="6"/>
      <c r="EP67" s="6"/>
      <c r="EQ67" s="6"/>
      <c r="ER67" s="6"/>
      <c r="ES67" s="6"/>
      <c r="ET67" s="6"/>
      <c r="EU67" s="6"/>
    </row>
    <row r="68" spans="1:151" ht="16.149999999999999" customHeight="1" x14ac:dyDescent="0.2">
      <c r="CZ68" s="4"/>
      <c r="DA68" s="4"/>
      <c r="DB68" s="4"/>
      <c r="EG68" s="6"/>
      <c r="EH68" s="6"/>
      <c r="EI68" s="6"/>
      <c r="EJ68" s="6"/>
      <c r="EK68" s="6"/>
      <c r="EL68" s="6"/>
      <c r="EM68" s="6"/>
      <c r="EN68" s="6"/>
      <c r="EO68" s="6"/>
      <c r="EP68" s="6"/>
      <c r="EQ68" s="6"/>
      <c r="ER68" s="6"/>
      <c r="ES68" s="6"/>
      <c r="ET68" s="6"/>
      <c r="EU68" s="6"/>
    </row>
    <row r="69" spans="1:151" ht="16.149999999999999" customHeight="1" x14ac:dyDescent="0.2">
      <c r="CZ69" s="4"/>
      <c r="DA69" s="4"/>
      <c r="DB69" s="4"/>
      <c r="EG69" s="6"/>
      <c r="EH69" s="6"/>
      <c r="EI69" s="6"/>
      <c r="EJ69" s="6"/>
      <c r="EK69" s="6"/>
      <c r="EL69" s="6"/>
      <c r="EM69" s="6"/>
      <c r="EN69" s="6"/>
      <c r="EO69" s="6"/>
      <c r="EP69" s="6"/>
      <c r="EQ69" s="6"/>
      <c r="ER69" s="6"/>
      <c r="ES69" s="6"/>
      <c r="ET69" s="6"/>
      <c r="EU69" s="6"/>
    </row>
    <row r="70" spans="1:151" ht="16.149999999999999" customHeight="1" x14ac:dyDescent="0.2">
      <c r="CZ70" s="4"/>
      <c r="DA70" s="4"/>
      <c r="DB70" s="4"/>
      <c r="EG70" s="6"/>
      <c r="EH70" s="6"/>
      <c r="EI70" s="6"/>
      <c r="EJ70" s="6"/>
      <c r="EK70" s="6"/>
      <c r="EL70" s="6"/>
      <c r="EM70" s="6"/>
      <c r="EN70" s="6"/>
      <c r="EO70" s="6"/>
      <c r="EP70" s="6"/>
      <c r="EQ70" s="6"/>
      <c r="ER70" s="6"/>
      <c r="ES70" s="6"/>
      <c r="ET70" s="6"/>
      <c r="EU70" s="6"/>
    </row>
    <row r="71" spans="1:151" ht="16.149999999999999" customHeight="1" x14ac:dyDescent="0.2">
      <c r="EG71" s="6"/>
      <c r="EH71" s="6"/>
      <c r="EI71" s="6"/>
      <c r="EJ71" s="6"/>
      <c r="EK71" s="6"/>
      <c r="EL71" s="6"/>
      <c r="EM71" s="6"/>
      <c r="EN71" s="6"/>
      <c r="EO71" s="6"/>
      <c r="EP71" s="6"/>
      <c r="EQ71" s="6"/>
      <c r="ER71" s="6"/>
      <c r="ES71" s="6"/>
      <c r="ET71" s="6"/>
      <c r="EU71" s="6"/>
    </row>
    <row r="72" spans="1:151" ht="16.149999999999999" customHeight="1" x14ac:dyDescent="0.2">
      <c r="EG72" s="6"/>
      <c r="EH72" s="6"/>
      <c r="EI72" s="6"/>
      <c r="EJ72" s="6"/>
      <c r="EK72" s="6"/>
      <c r="EL72" s="6"/>
      <c r="EM72" s="6"/>
      <c r="EN72" s="6"/>
      <c r="EO72" s="6"/>
      <c r="EP72" s="6"/>
      <c r="EQ72" s="6"/>
      <c r="ER72" s="6"/>
      <c r="ES72" s="6"/>
      <c r="ET72" s="6"/>
      <c r="EU72" s="6"/>
    </row>
    <row r="73" spans="1:151" ht="16.149999999999999" customHeight="1" x14ac:dyDescent="0.2">
      <c r="EG73" s="6"/>
      <c r="EH73" s="6"/>
      <c r="EI73" s="6"/>
      <c r="EJ73" s="6"/>
      <c r="EK73" s="6"/>
      <c r="EL73" s="6"/>
      <c r="EM73" s="6"/>
      <c r="EN73" s="6"/>
      <c r="EO73" s="6"/>
      <c r="EP73" s="6"/>
      <c r="EQ73" s="6"/>
      <c r="ER73" s="6"/>
      <c r="ES73" s="6"/>
      <c r="ET73" s="6"/>
      <c r="EU73" s="6"/>
    </row>
    <row r="74" spans="1:151" ht="16.149999999999999" customHeight="1" x14ac:dyDescent="0.2">
      <c r="EG74" s="6"/>
      <c r="EH74" s="6"/>
      <c r="EI74" s="6"/>
      <c r="EJ74" s="6"/>
      <c r="EK74" s="6"/>
      <c r="EL74" s="6"/>
      <c r="EM74" s="6"/>
      <c r="EN74" s="6"/>
      <c r="EO74" s="6"/>
      <c r="EP74" s="6"/>
      <c r="EQ74" s="6"/>
      <c r="ER74" s="6"/>
      <c r="ES74" s="6"/>
      <c r="ET74" s="6"/>
      <c r="EU74" s="6"/>
    </row>
    <row r="75" spans="1:151" ht="16.149999999999999" customHeight="1" x14ac:dyDescent="0.2">
      <c r="EG75" s="6"/>
      <c r="EH75" s="6"/>
      <c r="EI75" s="6"/>
      <c r="EJ75" s="6"/>
      <c r="EK75" s="6"/>
      <c r="EL75" s="6"/>
      <c r="EM75" s="6"/>
      <c r="EN75" s="6"/>
      <c r="EO75" s="6"/>
      <c r="EP75" s="6"/>
      <c r="EQ75" s="6"/>
      <c r="ER75" s="6"/>
      <c r="ES75" s="6"/>
      <c r="ET75" s="6"/>
      <c r="EU75" s="6"/>
    </row>
    <row r="76" spans="1:151" ht="16.149999999999999" customHeight="1" x14ac:dyDescent="0.2">
      <c r="EG76" s="6"/>
      <c r="EH76" s="6"/>
      <c r="EI76" s="6"/>
      <c r="EJ76" s="6"/>
      <c r="EK76" s="6"/>
      <c r="EL76" s="6"/>
      <c r="EM76" s="6"/>
      <c r="EN76" s="6"/>
      <c r="EO76" s="6"/>
      <c r="EP76" s="6"/>
      <c r="EQ76" s="6"/>
      <c r="ER76" s="6"/>
      <c r="ES76" s="6"/>
      <c r="ET76" s="6"/>
      <c r="EU76" s="6"/>
    </row>
    <row r="77" spans="1:151" ht="16.149999999999999" customHeight="1" x14ac:dyDescent="0.2">
      <c r="EG77" s="6"/>
      <c r="EH77" s="6"/>
      <c r="EI77" s="6"/>
      <c r="EJ77" s="6"/>
      <c r="EK77" s="6"/>
      <c r="EL77" s="6"/>
      <c r="EM77" s="6"/>
      <c r="EN77" s="6"/>
      <c r="EO77" s="6"/>
      <c r="EP77" s="6"/>
      <c r="EQ77" s="6"/>
      <c r="ER77" s="6"/>
      <c r="ES77" s="6"/>
      <c r="ET77" s="6"/>
      <c r="EU77" s="6"/>
    </row>
    <row r="78" spans="1:151" ht="16.149999999999999" customHeight="1" x14ac:dyDescent="0.2">
      <c r="EG78" s="6"/>
      <c r="EH78" s="6"/>
      <c r="EI78" s="6"/>
      <c r="EJ78" s="6"/>
      <c r="EK78" s="6"/>
      <c r="EL78" s="6"/>
      <c r="EM78" s="6"/>
      <c r="EN78" s="6"/>
      <c r="EO78" s="6"/>
      <c r="EP78" s="6"/>
      <c r="EQ78" s="6"/>
      <c r="ER78" s="6"/>
      <c r="ES78" s="6"/>
      <c r="ET78" s="6"/>
      <c r="EU78" s="6"/>
    </row>
    <row r="79" spans="1:151" ht="16.149999999999999" customHeight="1" x14ac:dyDescent="0.2">
      <c r="EG79" s="6"/>
      <c r="EH79" s="6"/>
      <c r="EI79" s="6"/>
      <c r="EJ79" s="6"/>
      <c r="EK79" s="6"/>
      <c r="EL79" s="6"/>
      <c r="EM79" s="6"/>
      <c r="EN79" s="6"/>
      <c r="EO79" s="6"/>
      <c r="EP79" s="6"/>
      <c r="EQ79" s="6"/>
      <c r="ER79" s="6"/>
      <c r="ES79" s="6"/>
      <c r="ET79" s="6"/>
      <c r="EU79" s="6"/>
    </row>
    <row r="80" spans="1:151" ht="16.149999999999999" customHeight="1" x14ac:dyDescent="0.2">
      <c r="EG80" s="6"/>
      <c r="EH80" s="6"/>
      <c r="EI80" s="6"/>
      <c r="EJ80" s="6"/>
      <c r="EK80" s="6"/>
      <c r="EL80" s="6"/>
      <c r="EM80" s="6"/>
      <c r="EN80" s="6"/>
      <c r="EO80" s="6"/>
      <c r="EP80" s="6"/>
      <c r="EQ80" s="6"/>
      <c r="ER80" s="6"/>
      <c r="ES80" s="6"/>
      <c r="ET80" s="6"/>
      <c r="EU80" s="6"/>
    </row>
  </sheetData>
  <mergeCells count="1">
    <mergeCell ref="B13:DB13"/>
  </mergeCells>
  <phoneticPr fontId="0" type="noConversion"/>
  <pageMargins left="0" right="0" top="0.5" bottom="0.5" header="0.5" footer="0.5"/>
  <pageSetup scale="70" orientation="landscape" r:id="rId1"/>
  <headerFooter alignWithMargins="0">
    <oddHeader xml:space="preserve">&amp;R&amp;14
</oddHeader>
  </headerFooter>
  <ignoredErrors>
    <ignoredError sqref="EF25 EF21 EC37 AJ27 U49"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Attachment A</vt:lpstr>
      <vt:lpstr>Source Data</vt:lpstr>
      <vt:lpstr>'Attachment A'!Print_Area</vt:lpstr>
      <vt:lpstr>'Source Data'!Print_Area</vt:lpstr>
      <vt:lpstr>'Source Data'!Print_Titles</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Dept. of Education</dc:creator>
  <cp:lastModifiedBy>VITA Program</cp:lastModifiedBy>
  <cp:lastPrinted>2018-01-10T22:46:49Z</cp:lastPrinted>
  <dcterms:created xsi:type="dcterms:W3CDTF">2000-10-10T23:33:08Z</dcterms:created>
  <dcterms:modified xsi:type="dcterms:W3CDTF">2020-07-06T17:17:54Z</dcterms:modified>
</cp:coreProperties>
</file>