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7050"/>
  </bookViews>
  <sheets>
    <sheet name="4-15 LEA DW ISP Estimates" sheetId="1" r:id="rId1"/>
  </sheets>
  <definedNames>
    <definedName name="_xlnm.Print_Area" localSheetId="0">'4-15 LEA DW ISP Estimates'!$G$4:$M$137</definedName>
    <definedName name="_xlnm.Print_Titles" localSheetId="0">'4-15 LEA DW ISP Estimates'!$4:$4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5" i="1"/>
  <c r="K135" i="1"/>
  <c r="L135" i="1" s="1"/>
  <c r="M135" i="1" s="1"/>
  <c r="K129" i="1"/>
  <c r="L129" i="1" s="1"/>
  <c r="M129" i="1" s="1"/>
  <c r="K128" i="1"/>
  <c r="L128" i="1" s="1"/>
  <c r="M128" i="1" s="1"/>
  <c r="K127" i="1"/>
  <c r="L127" i="1" s="1"/>
  <c r="M127" i="1" s="1"/>
  <c r="K125" i="1"/>
  <c r="L125" i="1" s="1"/>
  <c r="M125" i="1" s="1"/>
  <c r="K124" i="1"/>
  <c r="L124" i="1" s="1"/>
  <c r="M124" i="1" s="1"/>
  <c r="K123" i="1"/>
  <c r="L123" i="1" s="1"/>
  <c r="M123" i="1" s="1"/>
  <c r="K122" i="1"/>
  <c r="L122" i="1" s="1"/>
  <c r="M122" i="1" s="1"/>
  <c r="K121" i="1"/>
  <c r="L121" i="1" s="1"/>
  <c r="M121" i="1" s="1"/>
  <c r="K120" i="1"/>
  <c r="L120" i="1" s="1"/>
  <c r="M120" i="1" s="1"/>
  <c r="K118" i="1"/>
  <c r="L118" i="1" s="1"/>
  <c r="M118" i="1" s="1"/>
  <c r="K117" i="1"/>
  <c r="K116" i="1"/>
  <c r="L116" i="1" s="1"/>
  <c r="M116" i="1" s="1"/>
  <c r="K115" i="1"/>
  <c r="L115" i="1" s="1"/>
  <c r="M115" i="1" s="1"/>
  <c r="K114" i="1"/>
  <c r="L114" i="1" s="1"/>
  <c r="M114" i="1" s="1"/>
  <c r="K113" i="1"/>
  <c r="L113" i="1" s="1"/>
  <c r="M113" i="1" s="1"/>
  <c r="K112" i="1"/>
  <c r="L112" i="1" s="1"/>
  <c r="M112" i="1" s="1"/>
  <c r="K111" i="1"/>
  <c r="L111" i="1" s="1"/>
  <c r="M111" i="1" s="1"/>
  <c r="K110" i="1"/>
  <c r="L110" i="1" s="1"/>
  <c r="M110" i="1" s="1"/>
  <c r="K109" i="1"/>
  <c r="L109" i="1" s="1"/>
  <c r="M109" i="1" s="1"/>
  <c r="K107" i="1"/>
  <c r="L107" i="1" s="1"/>
  <c r="M107" i="1" s="1"/>
  <c r="K105" i="1"/>
  <c r="L105" i="1" s="1"/>
  <c r="M105" i="1" s="1"/>
  <c r="K104" i="1"/>
  <c r="L104" i="1" s="1"/>
  <c r="M104" i="1" s="1"/>
  <c r="K102" i="1"/>
  <c r="L102" i="1" s="1"/>
  <c r="M102" i="1" s="1"/>
  <c r="K101" i="1"/>
  <c r="L101" i="1" s="1"/>
  <c r="M101" i="1" s="1"/>
  <c r="K100" i="1"/>
  <c r="L100" i="1" s="1"/>
  <c r="M100" i="1" s="1"/>
  <c r="K99" i="1"/>
  <c r="L99" i="1" s="1"/>
  <c r="M99" i="1" s="1"/>
  <c r="K96" i="1"/>
  <c r="L96" i="1" s="1"/>
  <c r="M96" i="1" s="1"/>
  <c r="K95" i="1"/>
  <c r="L95" i="1" s="1"/>
  <c r="M95" i="1" s="1"/>
  <c r="K94" i="1"/>
  <c r="L94" i="1" s="1"/>
  <c r="M94" i="1" s="1"/>
  <c r="K92" i="1"/>
  <c r="L92" i="1" s="1"/>
  <c r="M92" i="1" s="1"/>
  <c r="K91" i="1"/>
  <c r="K86" i="1"/>
  <c r="L86" i="1" s="1"/>
  <c r="M86" i="1" s="1"/>
  <c r="K84" i="1"/>
  <c r="K83" i="1"/>
  <c r="L83" i="1" s="1"/>
  <c r="M83" i="1" s="1"/>
  <c r="K79" i="1"/>
  <c r="L79" i="1" s="1"/>
  <c r="M79" i="1" s="1"/>
  <c r="K77" i="1"/>
  <c r="L77" i="1" s="1"/>
  <c r="M77" i="1" s="1"/>
  <c r="K74" i="1"/>
  <c r="L74" i="1" s="1"/>
  <c r="M74" i="1" s="1"/>
  <c r="K72" i="1"/>
  <c r="L72" i="1" s="1"/>
  <c r="M72" i="1" s="1"/>
  <c r="K71" i="1"/>
  <c r="L71" i="1" s="1"/>
  <c r="M71" i="1" s="1"/>
  <c r="K68" i="1"/>
  <c r="L68" i="1" s="1"/>
  <c r="M68" i="1" s="1"/>
  <c r="K67" i="1"/>
  <c r="L67" i="1" s="1"/>
  <c r="M67" i="1" s="1"/>
  <c r="K61" i="1"/>
  <c r="L61" i="1" s="1"/>
  <c r="M61" i="1" s="1"/>
  <c r="K58" i="1"/>
  <c r="L58" i="1" s="1"/>
  <c r="M58" i="1" s="1"/>
  <c r="K55" i="1"/>
  <c r="L55" i="1" s="1"/>
  <c r="M55" i="1" s="1"/>
  <c r="K48" i="1"/>
  <c r="L48" i="1" s="1"/>
  <c r="M48" i="1" s="1"/>
  <c r="K47" i="1"/>
  <c r="L47" i="1" s="1"/>
  <c r="M47" i="1" s="1"/>
  <c r="K45" i="1"/>
  <c r="L45" i="1" s="1"/>
  <c r="M45" i="1" s="1"/>
  <c r="K44" i="1"/>
  <c r="L44" i="1" s="1"/>
  <c r="M44" i="1" s="1"/>
  <c r="K42" i="1"/>
  <c r="L42" i="1" s="1"/>
  <c r="M42" i="1" s="1"/>
  <c r="K37" i="1"/>
  <c r="L37" i="1" s="1"/>
  <c r="M37" i="1" s="1"/>
  <c r="K33" i="1"/>
  <c r="L33" i="1" s="1"/>
  <c r="M33" i="1" s="1"/>
  <c r="K32" i="1"/>
  <c r="L32" i="1" s="1"/>
  <c r="M32" i="1" s="1"/>
  <c r="K30" i="1"/>
  <c r="L30" i="1" s="1"/>
  <c r="M30" i="1" s="1"/>
  <c r="K29" i="1"/>
  <c r="L29" i="1" s="1"/>
  <c r="M29" i="1" s="1"/>
  <c r="K25" i="1"/>
  <c r="L25" i="1" s="1"/>
  <c r="M25" i="1" s="1"/>
  <c r="K19" i="1"/>
  <c r="L19" i="1" s="1"/>
  <c r="M19" i="1" s="1"/>
  <c r="K18" i="1"/>
  <c r="L18" i="1" s="1"/>
  <c r="M18" i="1" s="1"/>
  <c r="K17" i="1"/>
  <c r="L17" i="1" s="1"/>
  <c r="M17" i="1" s="1"/>
  <c r="K14" i="1"/>
  <c r="L14" i="1" s="1"/>
  <c r="M14" i="1" s="1"/>
  <c r="K9" i="1"/>
  <c r="L9" i="1" s="1"/>
  <c r="M9" i="1" s="1"/>
  <c r="K7" i="1"/>
  <c r="L7" i="1" s="1"/>
  <c r="M7" i="1" s="1"/>
  <c r="K5" i="1"/>
  <c r="L5" i="1" s="1"/>
  <c r="M5" i="1" s="1"/>
  <c r="L6" i="1"/>
  <c r="M6" i="1" s="1"/>
  <c r="L8" i="1"/>
  <c r="M8" i="1" s="1"/>
  <c r="L10" i="1"/>
  <c r="M10" i="1" s="1"/>
  <c r="L11" i="1"/>
  <c r="M11" i="1" s="1"/>
  <c r="L12" i="1"/>
  <c r="M12" i="1" s="1"/>
  <c r="L13" i="1"/>
  <c r="M13" i="1" s="1"/>
  <c r="L15" i="1"/>
  <c r="M15" i="1" s="1"/>
  <c r="L16" i="1"/>
  <c r="M16" i="1" s="1"/>
  <c r="L20" i="1"/>
  <c r="M20" i="1" s="1"/>
  <c r="L21" i="1"/>
  <c r="M21" i="1" s="1"/>
  <c r="L22" i="1"/>
  <c r="M22" i="1" s="1"/>
  <c r="L23" i="1"/>
  <c r="M23" i="1" s="1"/>
  <c r="L24" i="1"/>
  <c r="M24" i="1" s="1"/>
  <c r="L26" i="1"/>
  <c r="M26" i="1" s="1"/>
  <c r="L27" i="1"/>
  <c r="M27" i="1" s="1"/>
  <c r="L28" i="1"/>
  <c r="M28" i="1" s="1"/>
  <c r="L31" i="1"/>
  <c r="M31" i="1" s="1"/>
  <c r="L34" i="1"/>
  <c r="M34" i="1" s="1"/>
  <c r="L35" i="1"/>
  <c r="M35" i="1" s="1"/>
  <c r="L36" i="1"/>
  <c r="M36" i="1" s="1"/>
  <c r="L38" i="1"/>
  <c r="M38" i="1" s="1"/>
  <c r="L39" i="1"/>
  <c r="M39" i="1" s="1"/>
  <c r="L40" i="1"/>
  <c r="M40" i="1" s="1"/>
  <c r="L41" i="1"/>
  <c r="M41" i="1" s="1"/>
  <c r="L43" i="1"/>
  <c r="M43" i="1" s="1"/>
  <c r="L46" i="1"/>
  <c r="M46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6" i="1"/>
  <c r="M56" i="1" s="1"/>
  <c r="L57" i="1"/>
  <c r="M57" i="1" s="1"/>
  <c r="L59" i="1"/>
  <c r="M59" i="1" s="1"/>
  <c r="L60" i="1"/>
  <c r="M60" i="1" s="1"/>
  <c r="L62" i="1"/>
  <c r="M62" i="1" s="1"/>
  <c r="L63" i="1"/>
  <c r="M63" i="1" s="1"/>
  <c r="L64" i="1"/>
  <c r="M64" i="1" s="1"/>
  <c r="L65" i="1"/>
  <c r="M65" i="1" s="1"/>
  <c r="L66" i="1"/>
  <c r="M66" i="1" s="1"/>
  <c r="L69" i="1"/>
  <c r="M69" i="1" s="1"/>
  <c r="L70" i="1"/>
  <c r="M70" i="1" s="1"/>
  <c r="L73" i="1"/>
  <c r="M73" i="1" s="1"/>
  <c r="L75" i="1"/>
  <c r="M75" i="1" s="1"/>
  <c r="L76" i="1"/>
  <c r="M76" i="1" s="1"/>
  <c r="L78" i="1"/>
  <c r="M78" i="1" s="1"/>
  <c r="L80" i="1"/>
  <c r="M80" i="1" s="1"/>
  <c r="L81" i="1"/>
  <c r="M81" i="1" s="1"/>
  <c r="L82" i="1"/>
  <c r="M82" i="1" s="1"/>
  <c r="L84" i="1"/>
  <c r="M84" i="1" s="1"/>
  <c r="L85" i="1"/>
  <c r="M85" i="1" s="1"/>
  <c r="L87" i="1"/>
  <c r="M87" i="1" s="1"/>
  <c r="L88" i="1"/>
  <c r="M88" i="1" s="1"/>
  <c r="L89" i="1"/>
  <c r="M89" i="1" s="1"/>
  <c r="L90" i="1"/>
  <c r="M90" i="1" s="1"/>
  <c r="L91" i="1"/>
  <c r="M91" i="1" s="1"/>
  <c r="L93" i="1"/>
  <c r="M93" i="1" s="1"/>
  <c r="L97" i="1"/>
  <c r="M97" i="1" s="1"/>
  <c r="L98" i="1"/>
  <c r="M98" i="1" s="1"/>
  <c r="L103" i="1"/>
  <c r="M103" i="1" s="1"/>
  <c r="L106" i="1"/>
  <c r="M106" i="1" s="1"/>
  <c r="L108" i="1"/>
  <c r="M108" i="1" s="1"/>
  <c r="L117" i="1"/>
  <c r="M117" i="1" s="1"/>
  <c r="L119" i="1"/>
  <c r="M119" i="1" s="1"/>
  <c r="L126" i="1"/>
  <c r="M126" i="1" s="1"/>
  <c r="L130" i="1"/>
  <c r="M130" i="1" s="1"/>
  <c r="L131" i="1"/>
  <c r="M131" i="1" s="1"/>
  <c r="L132" i="1"/>
  <c r="M132" i="1" s="1"/>
  <c r="L133" i="1"/>
  <c r="M133" i="1" s="1"/>
  <c r="L134" i="1"/>
  <c r="M134" i="1" s="1"/>
  <c r="L136" i="1"/>
  <c r="M136" i="1" s="1"/>
</calcChain>
</file>

<file path=xl/sharedStrings.xml><?xml version="1.0" encoding="utf-8"?>
<sst xmlns="http://schemas.openxmlformats.org/spreadsheetml/2006/main" count="548" uniqueCount="290">
  <si>
    <t>003</t>
  </si>
  <si>
    <t>007</t>
  </si>
  <si>
    <t>010</t>
  </si>
  <si>
    <t>014</t>
  </si>
  <si>
    <t>021</t>
  </si>
  <si>
    <t>032</t>
  </si>
  <si>
    <t>King George County Public Schools</t>
  </si>
  <si>
    <t>Mecklenburg County Public Schools</t>
  </si>
  <si>
    <t>Southampton County Public Schools</t>
  </si>
  <si>
    <t>101</t>
  </si>
  <si>
    <t>112</t>
  </si>
  <si>
    <t>Radford City Public Schools</t>
  </si>
  <si>
    <t>123</t>
  </si>
  <si>
    <t>130</t>
  </si>
  <si>
    <t>Chesapeake City Public Schools</t>
  </si>
  <si>
    <t>School Year From</t>
  </si>
  <si>
    <t>Botetourt County Public Schools</t>
  </si>
  <si>
    <t>018</t>
  </si>
  <si>
    <t>Craig County Public Schools</t>
  </si>
  <si>
    <t>025</t>
  </si>
  <si>
    <t>029</t>
  </si>
  <si>
    <t>036</t>
  </si>
  <si>
    <t>043</t>
  </si>
  <si>
    <t>050</t>
  </si>
  <si>
    <t>054</t>
  </si>
  <si>
    <t>058</t>
  </si>
  <si>
    <t>065</t>
  </si>
  <si>
    <t>072</t>
  </si>
  <si>
    <t>Roanoke County Public Schools</t>
  </si>
  <si>
    <t>083</t>
  </si>
  <si>
    <t>090</t>
  </si>
  <si>
    <t>109</t>
  </si>
  <si>
    <t>116</t>
  </si>
  <si>
    <t>127</t>
  </si>
  <si>
    <t>Lexington City Public Schools</t>
  </si>
  <si>
    <t>207</t>
  </si>
  <si>
    <t>Alleghany County Public Schools</t>
  </si>
  <si>
    <t>Augusta County Public Schools</t>
  </si>
  <si>
    <t>Hanover County Public Schools</t>
  </si>
  <si>
    <t>Nelson County Public Schools</t>
  </si>
  <si>
    <t>069</t>
  </si>
  <si>
    <t>087</t>
  </si>
  <si>
    <t>Spotsylvania County Public Schools</t>
  </si>
  <si>
    <t>Surry County Public Schools</t>
  </si>
  <si>
    <t>094</t>
  </si>
  <si>
    <t>098</t>
  </si>
  <si>
    <t>Fluvanna County Public Schools</t>
  </si>
  <si>
    <t>Mathews County Public Schools</t>
  </si>
  <si>
    <t>Charlottesville City Public Schools</t>
  </si>
  <si>
    <t>Staunton City Public Schools</t>
  </si>
  <si>
    <t>Winchester City Public Schools</t>
  </si>
  <si>
    <t>School Year To</t>
  </si>
  <si>
    <t>SFA Name</t>
  </si>
  <si>
    <t>VA</t>
  </si>
  <si>
    <t>Albemarle County Public Schools</t>
  </si>
  <si>
    <t>004</t>
  </si>
  <si>
    <t>011</t>
  </si>
  <si>
    <t>015</t>
  </si>
  <si>
    <t>022</t>
  </si>
  <si>
    <t>040</t>
  </si>
  <si>
    <t>New Kent County Public Schools</t>
  </si>
  <si>
    <t>102</t>
  </si>
  <si>
    <t>106</t>
  </si>
  <si>
    <t>113</t>
  </si>
  <si>
    <t>120</t>
  </si>
  <si>
    <t>124</t>
  </si>
  <si>
    <t>131</t>
  </si>
  <si>
    <t>008</t>
  </si>
  <si>
    <t>019</t>
  </si>
  <si>
    <t>Clarke County Public Schools</t>
  </si>
  <si>
    <t>026</t>
  </si>
  <si>
    <t>033</t>
  </si>
  <si>
    <t>037</t>
  </si>
  <si>
    <t>044</t>
  </si>
  <si>
    <t>048</t>
  </si>
  <si>
    <t>051</t>
  </si>
  <si>
    <t>055</t>
  </si>
  <si>
    <t>062</t>
  </si>
  <si>
    <t>066</t>
  </si>
  <si>
    <t>073</t>
  </si>
  <si>
    <t>080</t>
  </si>
  <si>
    <t>084</t>
  </si>
  <si>
    <t>091</t>
  </si>
  <si>
    <t>Colonial Heights City Public Schools</t>
  </si>
  <si>
    <t>Falls Church City Public Schools</t>
  </si>
  <si>
    <t>117</t>
  </si>
  <si>
    <t>128</t>
  </si>
  <si>
    <t>135</t>
  </si>
  <si>
    <t>139</t>
  </si>
  <si>
    <t>Salem City Public Schools</t>
  </si>
  <si>
    <t>142</t>
  </si>
  <si>
    <t>Charlotte County Public Schools</t>
  </si>
  <si>
    <t>Floyd County Public Schools</t>
  </si>
  <si>
    <t>Highland County Public Schools</t>
  </si>
  <si>
    <t>059</t>
  </si>
  <si>
    <t>Montgomery County Public Schools</t>
  </si>
  <si>
    <t>077</t>
  </si>
  <si>
    <t>088</t>
  </si>
  <si>
    <t>Washington County Public Schools</t>
  </si>
  <si>
    <t>095</t>
  </si>
  <si>
    <t>Williamsburg-James City County Public Schools</t>
  </si>
  <si>
    <t>Type of SFA: Private</t>
  </si>
  <si>
    <t>Chesterfield County Public Schools</t>
  </si>
  <si>
    <t>Frederick County Public Schools</t>
  </si>
  <si>
    <t>Goochland County Public Schools</t>
  </si>
  <si>
    <t>Isle of Wight County Public Schools</t>
  </si>
  <si>
    <t>Powhatan County Public Schools</t>
  </si>
  <si>
    <t>Pulaski County Public Schools</t>
  </si>
  <si>
    <t>Rappahannock County Public Schools</t>
  </si>
  <si>
    <t>001</t>
  </si>
  <si>
    <t>005</t>
  </si>
  <si>
    <t>012</t>
  </si>
  <si>
    <t>023</t>
  </si>
  <si>
    <t>Culpeper County Public Schools</t>
  </si>
  <si>
    <t>030</t>
  </si>
  <si>
    <t>041</t>
  </si>
  <si>
    <t>Henrico County Public Schools</t>
  </si>
  <si>
    <t>103</t>
  </si>
  <si>
    <t>110</t>
  </si>
  <si>
    <t>114</t>
  </si>
  <si>
    <t>121</t>
  </si>
  <si>
    <t>132</t>
  </si>
  <si>
    <t>Poquoson City Public Schools</t>
  </si>
  <si>
    <t>SFA ID #</t>
  </si>
  <si>
    <t>Arlington County Public Schools</t>
  </si>
  <si>
    <t>009</t>
  </si>
  <si>
    <t>Bedford County Public Schools</t>
  </si>
  <si>
    <t>016</t>
  </si>
  <si>
    <t>027</t>
  </si>
  <si>
    <t>Fairfax County Public Schools</t>
  </si>
  <si>
    <t>034</t>
  </si>
  <si>
    <t>038</t>
  </si>
  <si>
    <t>045</t>
  </si>
  <si>
    <t>049</t>
  </si>
  <si>
    <t>052</t>
  </si>
  <si>
    <t>056</t>
  </si>
  <si>
    <t>063</t>
  </si>
  <si>
    <t>067</t>
  </si>
  <si>
    <t>Page County Public Schools</t>
  </si>
  <si>
    <t>070</t>
  </si>
  <si>
    <t>074</t>
  </si>
  <si>
    <t>081</t>
  </si>
  <si>
    <t>092</t>
  </si>
  <si>
    <t>107</t>
  </si>
  <si>
    <t>118</t>
  </si>
  <si>
    <t>136</t>
  </si>
  <si>
    <t>143</t>
  </si>
  <si>
    <t>Campbell County Public Schools</t>
  </si>
  <si>
    <t>Franklin County Public Schools</t>
  </si>
  <si>
    <t>Gloucester County Public Schools</t>
  </si>
  <si>
    <t>Greene County Public Schools</t>
  </si>
  <si>
    <t>Prince William County Public Schools</t>
  </si>
  <si>
    <t>078</t>
  </si>
  <si>
    <t>Rockingham County Public Schools</t>
  </si>
  <si>
    <t>Scott County Public Schools</t>
  </si>
  <si>
    <t>085</t>
  </si>
  <si>
    <t>089</t>
  </si>
  <si>
    <t>Tazewell County Public Schools</t>
  </si>
  <si>
    <t>096</t>
  </si>
  <si>
    <t>Wythe County Public Schools</t>
  </si>
  <si>
    <t>Virginia Beach City Public Schools</t>
  </si>
  <si>
    <t>Prince George County Public Schools</t>
  </si>
  <si>
    <t>Shenandoah County Public Schools</t>
  </si>
  <si>
    <t>Warren County Public Schools</t>
  </si>
  <si>
    <t>Alexandria City Public Schools</t>
  </si>
  <si>
    <t>Hampton City Public Schools</t>
  </si>
  <si>
    <t>002</t>
  </si>
  <si>
    <t>006</t>
  </si>
  <si>
    <t>Appomattox County Public Schools</t>
  </si>
  <si>
    <t>Bath County Public Schools</t>
  </si>
  <si>
    <t>013</t>
  </si>
  <si>
    <t>020</t>
  </si>
  <si>
    <t>024</t>
  </si>
  <si>
    <t>031</t>
  </si>
  <si>
    <t>Madison County Public Schools</t>
  </si>
  <si>
    <t>Orange County Public Schools</t>
  </si>
  <si>
    <t>104</t>
  </si>
  <si>
    <t>111</t>
  </si>
  <si>
    <t>115</t>
  </si>
  <si>
    <t>122</t>
  </si>
  <si>
    <t>Suffolk City Public Schools</t>
  </si>
  <si>
    <t>Manassas City Public Schools</t>
  </si>
  <si>
    <t>202</t>
  </si>
  <si>
    <t>Type of SFA: Public</t>
  </si>
  <si>
    <t>Amelia County Public Schools</t>
  </si>
  <si>
    <t>017</t>
  </si>
  <si>
    <t>028</t>
  </si>
  <si>
    <t>035</t>
  </si>
  <si>
    <t>039</t>
  </si>
  <si>
    <t>042</t>
  </si>
  <si>
    <t>046</t>
  </si>
  <si>
    <t>King William County Public Schools</t>
  </si>
  <si>
    <t>053</t>
  </si>
  <si>
    <t>Louisa County Public Schools</t>
  </si>
  <si>
    <t>057</t>
  </si>
  <si>
    <t>Middlesex County Public Schools</t>
  </si>
  <si>
    <t>060</t>
  </si>
  <si>
    <t>071</t>
  </si>
  <si>
    <t>Pittsylvania County Public Schools</t>
  </si>
  <si>
    <t>075</t>
  </si>
  <si>
    <t>Rockbridge County Public Schools</t>
  </si>
  <si>
    <t>082</t>
  </si>
  <si>
    <t>York County Public Schools</t>
  </si>
  <si>
    <t>108</t>
  </si>
  <si>
    <t>119</t>
  </si>
  <si>
    <t>126</t>
  </si>
  <si>
    <t>137</t>
  </si>
  <si>
    <t>144</t>
  </si>
  <si>
    <t>Manassas Park City Public Schools</t>
  </si>
  <si>
    <t>State ID</t>
  </si>
  <si>
    <t>Bland County Public Schools</t>
  </si>
  <si>
    <t>Caroline County Public Schools</t>
  </si>
  <si>
    <t>Fauquier County Public Schools</t>
  </si>
  <si>
    <t>Loudoun County Public Schools</t>
  </si>
  <si>
    <t>068</t>
  </si>
  <si>
    <t>079</t>
  </si>
  <si>
    <t>086</t>
  </si>
  <si>
    <t>Stafford County Public Schools</t>
  </si>
  <si>
    <t>093</t>
  </si>
  <si>
    <t>097</t>
  </si>
  <si>
    <t>Amherst County Public Schools</t>
  </si>
  <si>
    <t>Dinwiddie County Public Schools</t>
  </si>
  <si>
    <t>Giles County Public Schools</t>
  </si>
  <si>
    <t>Fredericksburg City Public Schools</t>
  </si>
  <si>
    <t>West Point Public Schools</t>
  </si>
  <si>
    <t>3-3. Students directly certified other</t>
  </si>
  <si>
    <t>3-2. Students directly certified SNAP</t>
  </si>
  <si>
    <t>CEP Schools DC FNS 834 and CEP Schedule)</t>
  </si>
  <si>
    <t xml:space="preserve"> October 2020 ISP% (estimated)</t>
  </si>
  <si>
    <t>Total Free Identified Students (DC, homeless, migrant, runaway, Head start) October 2019 FNS-742 and/or CEP application validation</t>
  </si>
  <si>
    <t xml:space="preserve">DC Free Students March 23, 2020 (does not include homeless, migrant, runaway, Head start) </t>
  </si>
  <si>
    <t>*Includes middle and high school students. Schools do not participate in NSLP.</t>
  </si>
  <si>
    <t>*May not include possible/extended matches.</t>
  </si>
  <si>
    <t>*May not include all possible/extended matches.</t>
  </si>
  <si>
    <t>Estimated Potential March 2020 ISP%</t>
  </si>
  <si>
    <t>Estimated Potential Jan/Feb 2020 ISP%</t>
  </si>
  <si>
    <t xml:space="preserve">DC Free Students Jan/Feb 2020 (does not include homeless, migrant, runaway, Head start) </t>
  </si>
  <si>
    <t>0</t>
  </si>
  <si>
    <t>Note 1 - Participates in CEP Divisionwide</t>
  </si>
  <si>
    <t>Note 2 - Potential for CEP Divisionwide 2020-2021</t>
  </si>
  <si>
    <t>Accomack County Public Schools - Note 1</t>
  </si>
  <si>
    <t>Brunswick County Public Schools - Note 1</t>
  </si>
  <si>
    <t>Buchanan County Public Schools - Note 1</t>
  </si>
  <si>
    <t>Buckingham County Public Schools - Note 2</t>
  </si>
  <si>
    <t>Carroll County Public Schools - Note 2</t>
  </si>
  <si>
    <t>Charles City County Public Schools - Note 2</t>
  </si>
  <si>
    <t>Cumberland County Public Schools - Note 2</t>
  </si>
  <si>
    <t>Dickenson County Public Schools - Note 1</t>
  </si>
  <si>
    <t>Essex County Public Schools - Note 2</t>
  </si>
  <si>
    <t>Grayson County Public Schools - Note 2</t>
  </si>
  <si>
    <t>Greensville County Public Schools - Note 1</t>
  </si>
  <si>
    <t>Halifax County Public Schools - Note 1</t>
  </si>
  <si>
    <t>Henry County Public Schools - Note 1</t>
  </si>
  <si>
    <t>King and Queen County Public Schools - Note 2</t>
  </si>
  <si>
    <t>Lancaster County Public Schools - Note 2</t>
  </si>
  <si>
    <t>Lee County Public Schools - Note 1</t>
  </si>
  <si>
    <t>Lunenburg County Public Schools - Note 2</t>
  </si>
  <si>
    <t>Northampton County Public Schools - Note 2</t>
  </si>
  <si>
    <t>Northumberland County Public Schools - Note 1</t>
  </si>
  <si>
    <t>Nottoway County Public Schools - Note 1</t>
  </si>
  <si>
    <t>Patrick County Public Schools - Note 1</t>
  </si>
  <si>
    <t>Prince Edward County Public Schools - Note 2</t>
  </si>
  <si>
    <t>Richmond County Public Schools - Note 1</t>
  </si>
  <si>
    <t>Russell County Public Schools - Note 2</t>
  </si>
  <si>
    <t>Smyth County Public Schools - Note 1</t>
  </si>
  <si>
    <t>Sussex County Public Schools - Note 1</t>
  </si>
  <si>
    <t>Westmoreland County Public Schools - Note 2</t>
  </si>
  <si>
    <t>Wise County Public Schools - Note 2</t>
  </si>
  <si>
    <t>Bristol City Public Schools - Note 1</t>
  </si>
  <si>
    <t>Buena Vista City Public Schools - Note 2</t>
  </si>
  <si>
    <t>Covington City Public Schools - Note 1</t>
  </si>
  <si>
    <t>Danville City Public Schools - Note 1</t>
  </si>
  <si>
    <t>Galax City Public Schools - Note 2</t>
  </si>
  <si>
    <t>Harrisonburg City Public Schools - Note 2</t>
  </si>
  <si>
    <t>Hopewell City Public Schools - Note 1</t>
  </si>
  <si>
    <t>Lynchburg City Public Schools - Note 2</t>
  </si>
  <si>
    <t>Martinsville City Public Schools - Note 1</t>
  </si>
  <si>
    <t>Newport News City Public Schools - Note 1</t>
  </si>
  <si>
    <t>Norfolk City Public Schools - Note 2</t>
  </si>
  <si>
    <t>Norton City Public Schools - Note 1</t>
  </si>
  <si>
    <t>Petersburg City Public Schools - Note 1</t>
  </si>
  <si>
    <t>Portsmouth City Public Schools - Note 2</t>
  </si>
  <si>
    <t>Richmond City Public Schools - Note 1</t>
  </si>
  <si>
    <t>Roanoke City Public Schools - Note 2</t>
  </si>
  <si>
    <t>Waynesboro City Public Schools - Note 2</t>
  </si>
  <si>
    <t>Franklin City Public Schools - Note 1</t>
  </si>
  <si>
    <t>Colonial Beach Public Schools - Note 1</t>
  </si>
  <si>
    <t>Enrollment October 2019 FNS-742
Q. 1-1.</t>
  </si>
  <si>
    <t>*End of worksheet*</t>
  </si>
  <si>
    <r>
      <t xml:space="preserve">Attachment A, SNP Memo No. 2019-2020-38
</t>
    </r>
    <r>
      <rPr>
        <sz val="12"/>
        <rFont val="Times New Roman"/>
        <family val="1"/>
      </rPr>
      <t>April 1,</t>
    </r>
    <r>
      <rPr>
        <sz val="12"/>
        <color theme="1"/>
        <rFont val="Times New Roman"/>
        <family val="1"/>
      </rPr>
      <t xml:space="preserve">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</si>
</sst>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8" x14ac:knownFonts="1">
    <font>
      <sz val="11"/>
      <color theme="1"/>
      <name val="Calibri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1" fontId="0" fillId="0" borderId="0" xfId="0" applyNumberFormat="1"/>
    <xf numFmtId="0" fontId="3" fillId="0" borderId="0" xfId="0" applyFont="1"/>
    <xf numFmtId="0" fontId="6" fillId="0" borderId="0" xfId="0" applyFont="1"/>
    <xf numFmtId="0" fontId="4" fillId="0" borderId="0" xfId="0" applyFont="1" applyFill="1" applyAlignment="1"/>
    <xf numFmtId="1" fontId="4" fillId="0" borderId="0" xfId="0" applyNumberFormat="1" applyFont="1" applyFill="1" applyAlignment="1"/>
    <xf numFmtId="0" fontId="4" fillId="2" borderId="2" xfId="0" applyFont="1" applyFill="1" applyBorder="1"/>
    <xf numFmtId="0" fontId="4" fillId="2" borderId="3" xfId="0" applyFont="1" applyFill="1" applyBorder="1" applyAlignment="1">
      <alignment wrapText="1"/>
    </xf>
    <xf numFmtId="1" fontId="4" fillId="2" borderId="3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5" fillId="0" borderId="5" xfId="0" applyFont="1" applyBorder="1"/>
    <xf numFmtId="0" fontId="5" fillId="0" borderId="1" xfId="0" applyFont="1" applyBorder="1"/>
    <xf numFmtId="1" fontId="5" fillId="0" borderId="1" xfId="0" applyNumberFormat="1" applyFont="1" applyBorder="1"/>
    <xf numFmtId="10" fontId="5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10" fontId="5" fillId="0" borderId="1" xfId="0" applyNumberFormat="1" applyFont="1" applyFill="1" applyBorder="1"/>
    <xf numFmtId="3" fontId="7" fillId="0" borderId="1" xfId="0" quotePrefix="1" applyNumberFormat="1" applyFont="1" applyFill="1" applyBorder="1" applyAlignment="1">
      <alignment horizontal="right"/>
    </xf>
    <xf numFmtId="10" fontId="5" fillId="0" borderId="6" xfId="0" applyNumberFormat="1" applyFont="1" applyFill="1" applyBorder="1"/>
    <xf numFmtId="3" fontId="5" fillId="0" borderId="1" xfId="0" quotePrefix="1" applyNumberFormat="1" applyFont="1" applyFill="1" applyBorder="1" applyAlignment="1">
      <alignment horizontal="right"/>
    </xf>
    <xf numFmtId="3" fontId="5" fillId="0" borderId="1" xfId="0" quotePrefix="1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/>
    <xf numFmtId="1" fontId="5" fillId="0" borderId="8" xfId="0" applyNumberFormat="1" applyFont="1" applyBorder="1"/>
    <xf numFmtId="10" fontId="5" fillId="0" borderId="8" xfId="0" applyNumberFormat="1" applyFont="1" applyBorder="1"/>
    <xf numFmtId="164" fontId="5" fillId="0" borderId="8" xfId="0" applyNumberFormat="1" applyFont="1" applyBorder="1" applyAlignment="1">
      <alignment horizontal="right"/>
    </xf>
    <xf numFmtId="10" fontId="5" fillId="0" borderId="8" xfId="0" applyNumberFormat="1" applyFont="1" applyFill="1" applyBorder="1"/>
    <xf numFmtId="3" fontId="5" fillId="0" borderId="8" xfId="0" quotePrefix="1" applyNumberFormat="1" applyFont="1" applyFill="1" applyBorder="1" applyAlignment="1">
      <alignment horizontal="right"/>
    </xf>
    <xf numFmtId="10" fontId="5" fillId="0" borderId="9" xfId="0" applyNumberFormat="1" applyFont="1" applyFill="1" applyBorder="1"/>
    <xf numFmtId="0" fontId="4" fillId="0" borderId="0" xfId="0" applyFont="1" applyFill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##,###,##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G4:Q136" totalsRowShown="0" headerRowDxfId="14" headerRowBorderDxfId="13" tableBorderDxfId="12" totalsRowBorderDxfId="11">
  <autoFilter ref="G4:Q136"/>
  <tableColumns count="11">
    <tableColumn id="1" name="SFA Name" dataDxfId="10"/>
    <tableColumn id="2" name="Enrollment October 2019 FNS-742_x000a_Q. 1-1." dataDxfId="9"/>
    <tableColumn id="3" name="3-2. Students directly certified SNAP" dataDxfId="8"/>
    <tableColumn id="4" name="3-3. Students directly certified other" dataDxfId="7"/>
    <tableColumn id="5" name="CEP Schools DC FNS 834 and CEP Schedule)" dataDxfId="6"/>
    <tableColumn id="6" name="Total Free Identified Students (DC, homeless, migrant, runaway, Head start) October 2019 FNS-742 and/or CEP application validation" dataDxfId="5">
      <calculatedColumnFormula>SUM(I5+J5+K5)</calculatedColumnFormula>
    </tableColumn>
    <tableColumn id="7" name=" October 2020 ISP% (estimated)" dataDxfId="4">
      <calculatedColumnFormula>L5/H5</calculatedColumnFormula>
    </tableColumn>
    <tableColumn id="8" name="DC Free Students Jan/Feb 2020 (does not include homeless, migrant, runaway, Head start) " dataDxfId="3"/>
    <tableColumn id="9" name="Estimated Potential Jan/Feb 2020 ISP%" dataDxfId="2">
      <calculatedColumnFormula>N5/H5</calculatedColumnFormula>
    </tableColumn>
    <tableColumn id="10" name="DC Free Students March 23, 2020 (does not include homeless, migrant, runaway, Head start) " dataDxfId="1"/>
    <tableColumn id="11" name="Estimated Potential March 2020 ISP%" dataDxfId="0">
      <calculatedColumnFormula>P5/H5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37"/>
  <sheetViews>
    <sheetView showGridLines="0" tabSelected="1" topLeftCell="G1" zoomScaleNormal="100" workbookViewId="0">
      <selection activeCell="G1" sqref="G1:Q1"/>
    </sheetView>
  </sheetViews>
  <sheetFormatPr defaultColWidth="0" defaultRowHeight="14.5" zeroHeight="1" x14ac:dyDescent="0.35"/>
  <cols>
    <col min="1" max="1" width="7.453125" hidden="1" customWidth="1"/>
    <col min="2" max="2" width="7.6328125" hidden="1" customWidth="1"/>
    <col min="3" max="3" width="16.453125" hidden="1" customWidth="1"/>
    <col min="4" max="4" width="17.36328125" hidden="1" customWidth="1"/>
    <col min="5" max="5" width="15.1796875" hidden="1" customWidth="1"/>
    <col min="6" max="6" width="13" hidden="1" customWidth="1"/>
    <col min="7" max="7" width="41.453125" customWidth="1"/>
    <col min="8" max="8" width="13.453125" customWidth="1"/>
    <col min="9" max="10" width="10.81640625" hidden="1" customWidth="1"/>
    <col min="11" max="11" width="9" hidden="1" customWidth="1"/>
    <col min="12" max="12" width="20.81640625" style="4" customWidth="1"/>
    <col min="13" max="17" width="20.81640625" customWidth="1"/>
    <col min="18" max="18" width="0" hidden="1" customWidth="1"/>
    <col min="19" max="19" width="64.81640625" hidden="1" customWidth="1"/>
    <col min="20" max="256" width="8.81640625" hidden="1" customWidth="1"/>
    <col min="257" max="257" width="8.81640625" customWidth="1"/>
    <col min="258" max="16384" width="8.81640625" hidden="1"/>
  </cols>
  <sheetData>
    <row r="1" spans="1:17" s="34" customFormat="1" ht="35" customHeight="1" x14ac:dyDescent="0.35">
      <c r="G1" s="35" t="s">
        <v>289</v>
      </c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35" customHeight="1" x14ac:dyDescent="0.35">
      <c r="A2" s="2"/>
      <c r="B2" s="2"/>
      <c r="C2" s="2"/>
      <c r="D2" s="2"/>
      <c r="E2" s="2"/>
      <c r="F2" s="2"/>
      <c r="G2" s="7" t="s">
        <v>238</v>
      </c>
      <c r="H2" s="7"/>
      <c r="I2" s="7"/>
      <c r="J2" s="7"/>
      <c r="K2" s="7"/>
      <c r="L2" s="8"/>
      <c r="M2" s="7"/>
      <c r="N2" s="7"/>
      <c r="O2" s="7"/>
      <c r="P2" s="7"/>
      <c r="Q2" s="7"/>
    </row>
    <row r="3" spans="1:17" ht="35" customHeight="1" x14ac:dyDescent="0.35">
      <c r="A3" s="2"/>
      <c r="B3" s="2"/>
      <c r="C3" s="2"/>
      <c r="D3" s="2"/>
      <c r="E3" s="2"/>
      <c r="F3" s="2"/>
      <c r="G3" s="33" t="s">
        <v>239</v>
      </c>
      <c r="H3" s="7"/>
      <c r="I3" s="7"/>
      <c r="J3" s="7"/>
      <c r="K3" s="7"/>
      <c r="L3" s="8"/>
      <c r="M3" s="7"/>
      <c r="N3" s="7"/>
      <c r="O3" s="7"/>
      <c r="P3" s="7"/>
      <c r="Q3" s="7"/>
    </row>
    <row r="4" spans="1:17" ht="140.25" customHeight="1" x14ac:dyDescent="0.35">
      <c r="A4" s="2" t="s">
        <v>209</v>
      </c>
      <c r="B4" s="2" t="s">
        <v>123</v>
      </c>
      <c r="C4" s="2" t="s">
        <v>183</v>
      </c>
      <c r="D4" s="2" t="s">
        <v>101</v>
      </c>
      <c r="E4" s="2" t="s">
        <v>15</v>
      </c>
      <c r="F4" s="2" t="s">
        <v>51</v>
      </c>
      <c r="G4" s="9" t="s">
        <v>52</v>
      </c>
      <c r="H4" s="10" t="s">
        <v>287</v>
      </c>
      <c r="I4" s="10" t="s">
        <v>226</v>
      </c>
      <c r="J4" s="10" t="s">
        <v>225</v>
      </c>
      <c r="K4" s="10" t="s">
        <v>227</v>
      </c>
      <c r="L4" s="11" t="s">
        <v>229</v>
      </c>
      <c r="M4" s="10" t="s">
        <v>228</v>
      </c>
      <c r="N4" s="10" t="s">
        <v>236</v>
      </c>
      <c r="O4" s="10" t="s">
        <v>235</v>
      </c>
      <c r="P4" s="10" t="s">
        <v>230</v>
      </c>
      <c r="Q4" s="12" t="s">
        <v>234</v>
      </c>
    </row>
    <row r="5" spans="1:17" ht="15.5" x14ac:dyDescent="0.35">
      <c r="A5" s="1" t="s">
        <v>53</v>
      </c>
      <c r="B5" s="3" t="s">
        <v>109</v>
      </c>
      <c r="C5" s="1">
        <v>1</v>
      </c>
      <c r="D5" s="1">
        <v>0</v>
      </c>
      <c r="E5" s="1">
        <v>2019</v>
      </c>
      <c r="F5" s="1">
        <v>2020</v>
      </c>
      <c r="G5" s="13" t="s">
        <v>240</v>
      </c>
      <c r="H5" s="14">
        <v>5223</v>
      </c>
      <c r="I5" s="14">
        <v>0</v>
      </c>
      <c r="J5" s="14">
        <v>0</v>
      </c>
      <c r="K5" s="14">
        <f>313+102+15+364+107+298+393+319+400+291+325</f>
        <v>2927</v>
      </c>
      <c r="L5" s="15">
        <f>SUM(I5+J5+K5)</f>
        <v>2927</v>
      </c>
      <c r="M5" s="16">
        <f>L5/H5</f>
        <v>0.56040589699406473</v>
      </c>
      <c r="N5" s="17">
        <v>3097</v>
      </c>
      <c r="O5" s="18">
        <f>N5/H5</f>
        <v>0.59295424085774462</v>
      </c>
      <c r="P5" s="19" t="s">
        <v>237</v>
      </c>
      <c r="Q5" s="20">
        <f>P5/H5</f>
        <v>0</v>
      </c>
    </row>
    <row r="6" spans="1:17" ht="15.5" x14ac:dyDescent="0.35">
      <c r="A6" s="1" t="s">
        <v>53</v>
      </c>
      <c r="B6" s="3" t="s">
        <v>166</v>
      </c>
      <c r="C6" s="1">
        <v>1</v>
      </c>
      <c r="D6" s="1">
        <v>0</v>
      </c>
      <c r="E6" s="1">
        <v>2019</v>
      </c>
      <c r="F6" s="1">
        <v>2020</v>
      </c>
      <c r="G6" s="13" t="s">
        <v>54</v>
      </c>
      <c r="H6" s="14">
        <v>14465</v>
      </c>
      <c r="I6" s="14">
        <v>1471</v>
      </c>
      <c r="J6" s="14">
        <v>1308</v>
      </c>
      <c r="K6" s="14">
        <v>0</v>
      </c>
      <c r="L6" s="15">
        <f t="shared" ref="L6:L69" si="0">SUM(I6+J6+K6)</f>
        <v>2779</v>
      </c>
      <c r="M6" s="16">
        <f t="shared" ref="M6:M69" si="1">L6/H6</f>
        <v>0.19211890770826132</v>
      </c>
      <c r="N6" s="17">
        <v>3483</v>
      </c>
      <c r="O6" s="18">
        <f t="shared" ref="O6:O69" si="2">N6/H6</f>
        <v>0.24078810922917387</v>
      </c>
      <c r="P6" s="21" t="s">
        <v>237</v>
      </c>
      <c r="Q6" s="20">
        <f t="shared" ref="Q6:Q69" si="3">P6/H6</f>
        <v>0</v>
      </c>
    </row>
    <row r="7" spans="1:17" ht="15.5" x14ac:dyDescent="0.35">
      <c r="A7" s="1" t="s">
        <v>53</v>
      </c>
      <c r="B7" s="3" t="s">
        <v>0</v>
      </c>
      <c r="C7" s="1">
        <v>1</v>
      </c>
      <c r="D7" s="1">
        <v>0</v>
      </c>
      <c r="E7" s="1">
        <v>2019</v>
      </c>
      <c r="F7" s="1">
        <v>2020</v>
      </c>
      <c r="G7" s="13" t="s">
        <v>36</v>
      </c>
      <c r="H7" s="14">
        <v>1890</v>
      </c>
      <c r="I7" s="14">
        <v>250</v>
      </c>
      <c r="J7" s="14">
        <v>213</v>
      </c>
      <c r="K7" s="14">
        <f>246+78</f>
        <v>324</v>
      </c>
      <c r="L7" s="15">
        <f t="shared" si="0"/>
        <v>787</v>
      </c>
      <c r="M7" s="16">
        <f t="shared" si="1"/>
        <v>0.41640211640211638</v>
      </c>
      <c r="N7" s="17">
        <v>810</v>
      </c>
      <c r="O7" s="18">
        <f t="shared" si="2"/>
        <v>0.42857142857142855</v>
      </c>
      <c r="P7" s="21" t="s">
        <v>237</v>
      </c>
      <c r="Q7" s="20">
        <f t="shared" si="3"/>
        <v>0</v>
      </c>
    </row>
    <row r="8" spans="1:17" ht="15.5" x14ac:dyDescent="0.35">
      <c r="A8" s="1" t="s">
        <v>53</v>
      </c>
      <c r="B8" s="3" t="s">
        <v>55</v>
      </c>
      <c r="C8" s="1">
        <v>1</v>
      </c>
      <c r="D8" s="1">
        <v>0</v>
      </c>
      <c r="E8" s="1">
        <v>2019</v>
      </c>
      <c r="F8" s="1">
        <v>2020</v>
      </c>
      <c r="G8" s="13" t="s">
        <v>184</v>
      </c>
      <c r="H8" s="14">
        <v>1716</v>
      </c>
      <c r="I8" s="14">
        <v>413</v>
      </c>
      <c r="J8" s="14">
        <v>239</v>
      </c>
      <c r="K8" s="14">
        <v>0</v>
      </c>
      <c r="L8" s="15">
        <f t="shared" si="0"/>
        <v>652</v>
      </c>
      <c r="M8" s="16">
        <f t="shared" si="1"/>
        <v>0.37995337995337997</v>
      </c>
      <c r="N8" s="17">
        <v>807</v>
      </c>
      <c r="O8" s="18">
        <f t="shared" si="2"/>
        <v>0.47027972027972026</v>
      </c>
      <c r="P8" s="21" t="s">
        <v>237</v>
      </c>
      <c r="Q8" s="20">
        <f t="shared" si="3"/>
        <v>0</v>
      </c>
    </row>
    <row r="9" spans="1:17" ht="15.5" x14ac:dyDescent="0.35">
      <c r="A9" s="1" t="s">
        <v>53</v>
      </c>
      <c r="B9" s="3" t="s">
        <v>110</v>
      </c>
      <c r="C9" s="1">
        <v>1</v>
      </c>
      <c r="D9" s="1">
        <v>0</v>
      </c>
      <c r="E9" s="1">
        <v>2019</v>
      </c>
      <c r="F9" s="1">
        <v>2020</v>
      </c>
      <c r="G9" s="13" t="s">
        <v>220</v>
      </c>
      <c r="H9" s="14">
        <v>4132</v>
      </c>
      <c r="I9" s="14">
        <v>969</v>
      </c>
      <c r="J9" s="14">
        <v>529</v>
      </c>
      <c r="K9" s="14">
        <f>234+206+31</f>
        <v>471</v>
      </c>
      <c r="L9" s="15">
        <f t="shared" si="0"/>
        <v>1969</v>
      </c>
      <c r="M9" s="16">
        <f t="shared" si="1"/>
        <v>0.47652468538238141</v>
      </c>
      <c r="N9" s="17">
        <v>2092</v>
      </c>
      <c r="O9" s="18">
        <f t="shared" si="2"/>
        <v>0.50629235237173287</v>
      </c>
      <c r="P9" s="21" t="s">
        <v>237</v>
      </c>
      <c r="Q9" s="20">
        <f t="shared" si="3"/>
        <v>0</v>
      </c>
    </row>
    <row r="10" spans="1:17" ht="15.5" x14ac:dyDescent="0.35">
      <c r="A10" s="1" t="s">
        <v>53</v>
      </c>
      <c r="B10" s="3" t="s">
        <v>167</v>
      </c>
      <c r="C10" s="1">
        <v>1</v>
      </c>
      <c r="D10" s="1">
        <v>0</v>
      </c>
      <c r="E10" s="1">
        <v>2019</v>
      </c>
      <c r="F10" s="1">
        <v>2020</v>
      </c>
      <c r="G10" s="13" t="s">
        <v>168</v>
      </c>
      <c r="H10" s="14">
        <v>2294</v>
      </c>
      <c r="I10" s="14">
        <v>606</v>
      </c>
      <c r="J10" s="14">
        <v>253</v>
      </c>
      <c r="K10" s="14">
        <v>0</v>
      </c>
      <c r="L10" s="15">
        <f t="shared" si="0"/>
        <v>859</v>
      </c>
      <c r="M10" s="16">
        <f t="shared" si="1"/>
        <v>0.37445510026155188</v>
      </c>
      <c r="N10" s="17">
        <v>1053</v>
      </c>
      <c r="O10" s="18">
        <f t="shared" si="2"/>
        <v>0.45902353966870096</v>
      </c>
      <c r="P10" s="21" t="s">
        <v>237</v>
      </c>
      <c r="Q10" s="20">
        <f t="shared" si="3"/>
        <v>0</v>
      </c>
    </row>
    <row r="11" spans="1:17" ht="15.5" x14ac:dyDescent="0.35">
      <c r="A11" s="1" t="s">
        <v>53</v>
      </c>
      <c r="B11" s="3" t="s">
        <v>1</v>
      </c>
      <c r="C11" s="1">
        <v>1</v>
      </c>
      <c r="D11" s="1">
        <v>0</v>
      </c>
      <c r="E11" s="1">
        <v>2019</v>
      </c>
      <c r="F11" s="1">
        <v>2020</v>
      </c>
      <c r="G11" s="13" t="s">
        <v>124</v>
      </c>
      <c r="H11" s="14">
        <v>27775</v>
      </c>
      <c r="I11" s="14">
        <v>1610</v>
      </c>
      <c r="J11" s="14">
        <v>2508</v>
      </c>
      <c r="K11" s="14">
        <v>0</v>
      </c>
      <c r="L11" s="15">
        <f t="shared" si="0"/>
        <v>4118</v>
      </c>
      <c r="M11" s="16">
        <f t="shared" si="1"/>
        <v>0.14826282628262827</v>
      </c>
      <c r="N11" s="17">
        <v>5035</v>
      </c>
      <c r="O11" s="18">
        <f t="shared" si="2"/>
        <v>0.18127812781278127</v>
      </c>
      <c r="P11" s="21" t="s">
        <v>237</v>
      </c>
      <c r="Q11" s="20">
        <f t="shared" si="3"/>
        <v>0</v>
      </c>
    </row>
    <row r="12" spans="1:17" ht="15.5" x14ac:dyDescent="0.35">
      <c r="A12" s="1" t="s">
        <v>53</v>
      </c>
      <c r="B12" s="3" t="s">
        <v>67</v>
      </c>
      <c r="C12" s="1">
        <v>1</v>
      </c>
      <c r="D12" s="1">
        <v>0</v>
      </c>
      <c r="E12" s="1">
        <v>2019</v>
      </c>
      <c r="F12" s="1">
        <v>2020</v>
      </c>
      <c r="G12" s="13" t="s">
        <v>37</v>
      </c>
      <c r="H12" s="14">
        <v>10359</v>
      </c>
      <c r="I12" s="14">
        <v>1273</v>
      </c>
      <c r="J12" s="14">
        <v>1179</v>
      </c>
      <c r="K12" s="14">
        <v>82</v>
      </c>
      <c r="L12" s="15">
        <f t="shared" si="0"/>
        <v>2534</v>
      </c>
      <c r="M12" s="16">
        <f t="shared" si="1"/>
        <v>0.24461820639057824</v>
      </c>
      <c r="N12" s="17">
        <v>3814</v>
      </c>
      <c r="O12" s="18">
        <f t="shared" si="2"/>
        <v>0.36818225697461143</v>
      </c>
      <c r="P12" s="21" t="s">
        <v>237</v>
      </c>
      <c r="Q12" s="20">
        <f t="shared" si="3"/>
        <v>0</v>
      </c>
    </row>
    <row r="13" spans="1:17" ht="15.5" x14ac:dyDescent="0.35">
      <c r="A13" s="1" t="s">
        <v>53</v>
      </c>
      <c r="B13" s="3" t="s">
        <v>125</v>
      </c>
      <c r="C13" s="1">
        <v>1</v>
      </c>
      <c r="D13" s="1">
        <v>0</v>
      </c>
      <c r="E13" s="1">
        <v>2019</v>
      </c>
      <c r="F13" s="1">
        <v>2020</v>
      </c>
      <c r="G13" s="13" t="s">
        <v>169</v>
      </c>
      <c r="H13" s="14">
        <v>528</v>
      </c>
      <c r="I13" s="14">
        <v>86</v>
      </c>
      <c r="J13" s="14">
        <v>117</v>
      </c>
      <c r="K13" s="14">
        <v>0</v>
      </c>
      <c r="L13" s="15">
        <f t="shared" si="0"/>
        <v>203</v>
      </c>
      <c r="M13" s="16">
        <f t="shared" si="1"/>
        <v>0.38446969696969696</v>
      </c>
      <c r="N13" s="17">
        <v>240</v>
      </c>
      <c r="O13" s="18">
        <f t="shared" si="2"/>
        <v>0.45454545454545453</v>
      </c>
      <c r="P13" s="21" t="s">
        <v>237</v>
      </c>
      <c r="Q13" s="20">
        <f t="shared" si="3"/>
        <v>0</v>
      </c>
    </row>
    <row r="14" spans="1:17" ht="15.5" x14ac:dyDescent="0.35">
      <c r="A14" s="1" t="s">
        <v>53</v>
      </c>
      <c r="B14" s="3" t="s">
        <v>2</v>
      </c>
      <c r="C14" s="1">
        <v>1</v>
      </c>
      <c r="D14" s="1">
        <v>0</v>
      </c>
      <c r="E14" s="1">
        <v>2019</v>
      </c>
      <c r="F14" s="1">
        <v>2020</v>
      </c>
      <c r="G14" s="13" t="s">
        <v>126</v>
      </c>
      <c r="H14" s="14">
        <v>9642</v>
      </c>
      <c r="I14" s="14">
        <v>1391</v>
      </c>
      <c r="J14" s="14">
        <v>1167</v>
      </c>
      <c r="K14" s="14">
        <f>172+28</f>
        <v>200</v>
      </c>
      <c r="L14" s="15">
        <f t="shared" si="0"/>
        <v>2758</v>
      </c>
      <c r="M14" s="16">
        <f t="shared" si="1"/>
        <v>0.28604024061398048</v>
      </c>
      <c r="N14" s="17">
        <v>3200</v>
      </c>
      <c r="O14" s="18">
        <f t="shared" si="2"/>
        <v>0.33188135241651112</v>
      </c>
      <c r="P14" s="21" t="s">
        <v>237</v>
      </c>
      <c r="Q14" s="20">
        <f t="shared" si="3"/>
        <v>0</v>
      </c>
    </row>
    <row r="15" spans="1:17" ht="15.5" x14ac:dyDescent="0.35">
      <c r="A15" s="1" t="s">
        <v>53</v>
      </c>
      <c r="B15" s="3" t="s">
        <v>56</v>
      </c>
      <c r="C15" s="1">
        <v>1</v>
      </c>
      <c r="D15" s="1">
        <v>0</v>
      </c>
      <c r="E15" s="1">
        <v>2019</v>
      </c>
      <c r="F15" s="1">
        <v>2020</v>
      </c>
      <c r="G15" s="13" t="s">
        <v>210</v>
      </c>
      <c r="H15" s="14">
        <v>810</v>
      </c>
      <c r="I15" s="14">
        <v>104</v>
      </c>
      <c r="J15" s="14">
        <v>124</v>
      </c>
      <c r="K15" s="14">
        <v>0</v>
      </c>
      <c r="L15" s="15">
        <f t="shared" si="0"/>
        <v>228</v>
      </c>
      <c r="M15" s="16">
        <f t="shared" si="1"/>
        <v>0.2814814814814815</v>
      </c>
      <c r="N15" s="17">
        <v>265</v>
      </c>
      <c r="O15" s="18">
        <f t="shared" si="2"/>
        <v>0.3271604938271605</v>
      </c>
      <c r="P15" s="21" t="s">
        <v>237</v>
      </c>
      <c r="Q15" s="20">
        <f t="shared" si="3"/>
        <v>0</v>
      </c>
    </row>
    <row r="16" spans="1:17" ht="15.5" x14ac:dyDescent="0.35">
      <c r="A16" s="1" t="s">
        <v>53</v>
      </c>
      <c r="B16" s="3" t="s">
        <v>111</v>
      </c>
      <c r="C16" s="1">
        <v>1</v>
      </c>
      <c r="D16" s="1">
        <v>0</v>
      </c>
      <c r="E16" s="1">
        <v>2019</v>
      </c>
      <c r="F16" s="1">
        <v>2020</v>
      </c>
      <c r="G16" s="13" t="s">
        <v>16</v>
      </c>
      <c r="H16" s="14">
        <v>4691</v>
      </c>
      <c r="I16" s="14">
        <v>431</v>
      </c>
      <c r="J16" s="14">
        <v>447</v>
      </c>
      <c r="K16" s="14">
        <v>0</v>
      </c>
      <c r="L16" s="15">
        <f t="shared" si="0"/>
        <v>878</v>
      </c>
      <c r="M16" s="16">
        <f t="shared" si="1"/>
        <v>0.18716691536985716</v>
      </c>
      <c r="N16" s="22" t="s">
        <v>237</v>
      </c>
      <c r="O16" s="18">
        <f t="shared" si="2"/>
        <v>0</v>
      </c>
      <c r="P16" s="23">
        <v>1311</v>
      </c>
      <c r="Q16" s="20">
        <f t="shared" si="3"/>
        <v>0.27947132807503733</v>
      </c>
    </row>
    <row r="17" spans="1:17" ht="15.5" x14ac:dyDescent="0.35">
      <c r="A17" s="1" t="s">
        <v>53</v>
      </c>
      <c r="B17" s="3" t="s">
        <v>170</v>
      </c>
      <c r="C17" s="1">
        <v>1</v>
      </c>
      <c r="D17" s="1">
        <v>0</v>
      </c>
      <c r="E17" s="1">
        <v>2019</v>
      </c>
      <c r="F17" s="1">
        <v>2020</v>
      </c>
      <c r="G17" s="13" t="s">
        <v>241</v>
      </c>
      <c r="H17" s="14">
        <v>1545</v>
      </c>
      <c r="I17" s="14">
        <v>0</v>
      </c>
      <c r="J17" s="14">
        <v>0</v>
      </c>
      <c r="K17" s="14">
        <f>264+203+162+135+218</f>
        <v>982</v>
      </c>
      <c r="L17" s="15">
        <f t="shared" si="0"/>
        <v>982</v>
      </c>
      <c r="M17" s="16">
        <f t="shared" si="1"/>
        <v>0.63559870550161812</v>
      </c>
      <c r="N17" s="17">
        <v>1029</v>
      </c>
      <c r="O17" s="18">
        <f t="shared" si="2"/>
        <v>0.66601941747572813</v>
      </c>
      <c r="P17" s="21" t="s">
        <v>237</v>
      </c>
      <c r="Q17" s="20">
        <f t="shared" si="3"/>
        <v>0</v>
      </c>
    </row>
    <row r="18" spans="1:17" ht="15.5" x14ac:dyDescent="0.35">
      <c r="A18" s="1" t="s">
        <v>53</v>
      </c>
      <c r="B18" s="3" t="s">
        <v>3</v>
      </c>
      <c r="C18" s="1">
        <v>1</v>
      </c>
      <c r="D18" s="1">
        <v>0</v>
      </c>
      <c r="E18" s="1">
        <v>2019</v>
      </c>
      <c r="F18" s="1">
        <v>2020</v>
      </c>
      <c r="G18" s="13" t="s">
        <v>242</v>
      </c>
      <c r="H18" s="14">
        <v>2555</v>
      </c>
      <c r="I18" s="14">
        <v>0</v>
      </c>
      <c r="J18" s="14">
        <v>0</v>
      </c>
      <c r="K18" s="14">
        <f>107+234+185+73+135+416+196+102</f>
        <v>1448</v>
      </c>
      <c r="L18" s="15">
        <f t="shared" si="0"/>
        <v>1448</v>
      </c>
      <c r="M18" s="16">
        <f t="shared" si="1"/>
        <v>0.56673189823874759</v>
      </c>
      <c r="N18" s="17">
        <v>1552</v>
      </c>
      <c r="O18" s="18">
        <f t="shared" si="2"/>
        <v>0.60743639921722115</v>
      </c>
      <c r="P18" s="21" t="s">
        <v>237</v>
      </c>
      <c r="Q18" s="20">
        <f t="shared" si="3"/>
        <v>0</v>
      </c>
    </row>
    <row r="19" spans="1:17" ht="15.5" x14ac:dyDescent="0.35">
      <c r="A19" s="1" t="s">
        <v>53</v>
      </c>
      <c r="B19" s="3" t="s">
        <v>57</v>
      </c>
      <c r="C19" s="1">
        <v>1</v>
      </c>
      <c r="D19" s="1">
        <v>0</v>
      </c>
      <c r="E19" s="1">
        <v>2019</v>
      </c>
      <c r="F19" s="1">
        <v>2020</v>
      </c>
      <c r="G19" s="13" t="s">
        <v>243</v>
      </c>
      <c r="H19" s="14">
        <v>2123</v>
      </c>
      <c r="I19" s="14">
        <v>141</v>
      </c>
      <c r="J19" s="14">
        <v>74</v>
      </c>
      <c r="K19" s="14">
        <f>245+62+259+228</f>
        <v>794</v>
      </c>
      <c r="L19" s="15">
        <f t="shared" si="0"/>
        <v>1009</v>
      </c>
      <c r="M19" s="16">
        <f t="shared" si="1"/>
        <v>0.47527084314649082</v>
      </c>
      <c r="N19" s="17">
        <v>1169</v>
      </c>
      <c r="O19" s="18">
        <f t="shared" si="2"/>
        <v>0.5506358926048045</v>
      </c>
      <c r="P19" s="21" t="s">
        <v>237</v>
      </c>
      <c r="Q19" s="20">
        <f t="shared" si="3"/>
        <v>0</v>
      </c>
    </row>
    <row r="20" spans="1:17" ht="15.5" x14ac:dyDescent="0.35">
      <c r="A20" s="1" t="s">
        <v>53</v>
      </c>
      <c r="B20" s="3" t="s">
        <v>127</v>
      </c>
      <c r="C20" s="1">
        <v>1</v>
      </c>
      <c r="D20" s="1">
        <v>0</v>
      </c>
      <c r="E20" s="1">
        <v>2019</v>
      </c>
      <c r="F20" s="1">
        <v>2020</v>
      </c>
      <c r="G20" s="13" t="s">
        <v>147</v>
      </c>
      <c r="H20" s="14">
        <v>7909</v>
      </c>
      <c r="I20" s="14">
        <v>1652</v>
      </c>
      <c r="J20" s="14">
        <v>955</v>
      </c>
      <c r="K20" s="14">
        <v>0</v>
      </c>
      <c r="L20" s="15">
        <f t="shared" si="0"/>
        <v>2607</v>
      </c>
      <c r="M20" s="16">
        <f t="shared" si="1"/>
        <v>0.32962447844228093</v>
      </c>
      <c r="N20" s="17">
        <v>3444</v>
      </c>
      <c r="O20" s="18">
        <f t="shared" si="2"/>
        <v>0.43545328107219622</v>
      </c>
      <c r="P20" s="21" t="s">
        <v>237</v>
      </c>
      <c r="Q20" s="20">
        <f t="shared" si="3"/>
        <v>0</v>
      </c>
    </row>
    <row r="21" spans="1:17" ht="15.5" x14ac:dyDescent="0.35">
      <c r="A21" s="1" t="s">
        <v>53</v>
      </c>
      <c r="B21" s="3" t="s">
        <v>185</v>
      </c>
      <c r="C21" s="1">
        <v>1</v>
      </c>
      <c r="D21" s="1">
        <v>0</v>
      </c>
      <c r="E21" s="1">
        <v>2019</v>
      </c>
      <c r="F21" s="1">
        <v>2020</v>
      </c>
      <c r="G21" s="13" t="s">
        <v>211</v>
      </c>
      <c r="H21" s="14">
        <v>4565</v>
      </c>
      <c r="I21" s="14">
        <v>932</v>
      </c>
      <c r="J21" s="14">
        <v>547</v>
      </c>
      <c r="K21" s="14">
        <v>0</v>
      </c>
      <c r="L21" s="15">
        <f t="shared" si="0"/>
        <v>1479</v>
      </c>
      <c r="M21" s="16">
        <f t="shared" si="1"/>
        <v>0.32398685651697701</v>
      </c>
      <c r="N21" s="17">
        <v>2027</v>
      </c>
      <c r="O21" s="18">
        <f t="shared" si="2"/>
        <v>0.44403066812705366</v>
      </c>
      <c r="P21" s="21" t="s">
        <v>237</v>
      </c>
      <c r="Q21" s="20">
        <f t="shared" si="3"/>
        <v>0</v>
      </c>
    </row>
    <row r="22" spans="1:17" ht="15.5" x14ac:dyDescent="0.35">
      <c r="A22" s="1" t="s">
        <v>53</v>
      </c>
      <c r="B22" s="3" t="s">
        <v>17</v>
      </c>
      <c r="C22" s="1">
        <v>1</v>
      </c>
      <c r="D22" s="1">
        <v>0</v>
      </c>
      <c r="E22" s="1">
        <v>2019</v>
      </c>
      <c r="F22" s="1">
        <v>2020</v>
      </c>
      <c r="G22" s="13" t="s">
        <v>244</v>
      </c>
      <c r="H22" s="14">
        <v>3737</v>
      </c>
      <c r="I22" s="14">
        <v>917</v>
      </c>
      <c r="J22" s="14">
        <v>664</v>
      </c>
      <c r="K22" s="14">
        <v>0</v>
      </c>
      <c r="L22" s="15">
        <f t="shared" si="0"/>
        <v>1581</v>
      </c>
      <c r="M22" s="16">
        <f t="shared" si="1"/>
        <v>0.42306663098742309</v>
      </c>
      <c r="N22" s="17">
        <v>2083</v>
      </c>
      <c r="O22" s="18">
        <f t="shared" si="2"/>
        <v>0.55739898314155745</v>
      </c>
      <c r="P22" s="21" t="s">
        <v>237</v>
      </c>
      <c r="Q22" s="20">
        <f t="shared" si="3"/>
        <v>0</v>
      </c>
    </row>
    <row r="23" spans="1:17" ht="15.5" x14ac:dyDescent="0.35">
      <c r="A23" s="1" t="s">
        <v>53</v>
      </c>
      <c r="B23" s="3" t="s">
        <v>68</v>
      </c>
      <c r="C23" s="1">
        <v>1</v>
      </c>
      <c r="D23" s="1">
        <v>0</v>
      </c>
      <c r="E23" s="1">
        <v>2019</v>
      </c>
      <c r="F23" s="1">
        <v>2020</v>
      </c>
      <c r="G23" s="13" t="s">
        <v>245</v>
      </c>
      <c r="H23" s="14">
        <v>627</v>
      </c>
      <c r="I23" s="14">
        <v>179</v>
      </c>
      <c r="J23" s="14">
        <v>99</v>
      </c>
      <c r="K23" s="14">
        <v>0</v>
      </c>
      <c r="L23" s="15">
        <f t="shared" si="0"/>
        <v>278</v>
      </c>
      <c r="M23" s="16">
        <f t="shared" si="1"/>
        <v>0.44338118022328549</v>
      </c>
      <c r="N23" s="17">
        <v>374</v>
      </c>
      <c r="O23" s="18">
        <f t="shared" si="2"/>
        <v>0.59649122807017541</v>
      </c>
      <c r="P23" s="21" t="s">
        <v>237</v>
      </c>
      <c r="Q23" s="20">
        <f t="shared" si="3"/>
        <v>0</v>
      </c>
    </row>
    <row r="24" spans="1:17" ht="15.5" x14ac:dyDescent="0.35">
      <c r="A24" s="1" t="s">
        <v>53</v>
      </c>
      <c r="B24" s="3" t="s">
        <v>171</v>
      </c>
      <c r="C24" s="1">
        <v>1</v>
      </c>
      <c r="D24" s="1">
        <v>0</v>
      </c>
      <c r="E24" s="1">
        <v>2019</v>
      </c>
      <c r="F24" s="1">
        <v>2020</v>
      </c>
      <c r="G24" s="13" t="s">
        <v>91</v>
      </c>
      <c r="H24" s="14">
        <v>1765</v>
      </c>
      <c r="I24" s="14">
        <v>472</v>
      </c>
      <c r="J24" s="14">
        <v>252</v>
      </c>
      <c r="K24" s="14">
        <v>0</v>
      </c>
      <c r="L24" s="15">
        <f t="shared" si="0"/>
        <v>724</v>
      </c>
      <c r="M24" s="16">
        <f t="shared" si="1"/>
        <v>0.41019830028328613</v>
      </c>
      <c r="N24" s="17">
        <v>863</v>
      </c>
      <c r="O24" s="18">
        <f t="shared" si="2"/>
        <v>0.48895184135977338</v>
      </c>
      <c r="P24" s="21" t="s">
        <v>237</v>
      </c>
      <c r="Q24" s="20">
        <f t="shared" si="3"/>
        <v>0</v>
      </c>
    </row>
    <row r="25" spans="1:17" ht="15.5" x14ac:dyDescent="0.35">
      <c r="A25" s="1" t="s">
        <v>53</v>
      </c>
      <c r="B25" s="3" t="s">
        <v>4</v>
      </c>
      <c r="C25" s="1">
        <v>1</v>
      </c>
      <c r="D25" s="1">
        <v>0</v>
      </c>
      <c r="E25" s="1">
        <v>2019</v>
      </c>
      <c r="F25" s="1">
        <v>2020</v>
      </c>
      <c r="G25" s="13" t="s">
        <v>102</v>
      </c>
      <c r="H25" s="14">
        <v>62775</v>
      </c>
      <c r="I25" s="14">
        <v>8564</v>
      </c>
      <c r="J25" s="14">
        <v>6709</v>
      </c>
      <c r="K25" s="14">
        <f>506+499+359+733+310+342+276</f>
        <v>3025</v>
      </c>
      <c r="L25" s="15">
        <f t="shared" si="0"/>
        <v>18298</v>
      </c>
      <c r="M25" s="16">
        <f t="shared" si="1"/>
        <v>0.29148546395858221</v>
      </c>
      <c r="N25" s="17">
        <v>20954</v>
      </c>
      <c r="O25" s="18">
        <f t="shared" si="2"/>
        <v>0.33379530067702112</v>
      </c>
      <c r="P25" s="21" t="s">
        <v>237</v>
      </c>
      <c r="Q25" s="20">
        <f t="shared" si="3"/>
        <v>0</v>
      </c>
    </row>
    <row r="26" spans="1:17" ht="15.5" x14ac:dyDescent="0.35">
      <c r="A26" s="1" t="s">
        <v>53</v>
      </c>
      <c r="B26" s="3" t="s">
        <v>58</v>
      </c>
      <c r="C26" s="1">
        <v>1</v>
      </c>
      <c r="D26" s="1">
        <v>0</v>
      </c>
      <c r="E26" s="1">
        <v>2019</v>
      </c>
      <c r="F26" s="1">
        <v>2020</v>
      </c>
      <c r="G26" s="13" t="s">
        <v>69</v>
      </c>
      <c r="H26" s="14">
        <v>1928</v>
      </c>
      <c r="I26" s="14">
        <v>111</v>
      </c>
      <c r="J26" s="14">
        <v>150</v>
      </c>
      <c r="K26" s="14">
        <v>0</v>
      </c>
      <c r="L26" s="15">
        <f t="shared" si="0"/>
        <v>261</v>
      </c>
      <c r="M26" s="16">
        <f t="shared" si="1"/>
        <v>0.13537344398340248</v>
      </c>
      <c r="N26" s="17">
        <v>403</v>
      </c>
      <c r="O26" s="18">
        <f t="shared" si="2"/>
        <v>0.20902489626556017</v>
      </c>
      <c r="P26" s="21" t="s">
        <v>237</v>
      </c>
      <c r="Q26" s="20">
        <f t="shared" si="3"/>
        <v>0</v>
      </c>
    </row>
    <row r="27" spans="1:17" ht="15.5" x14ac:dyDescent="0.35">
      <c r="A27" s="1" t="s">
        <v>53</v>
      </c>
      <c r="B27" s="3" t="s">
        <v>112</v>
      </c>
      <c r="C27" s="1">
        <v>1</v>
      </c>
      <c r="D27" s="1">
        <v>0</v>
      </c>
      <c r="E27" s="1">
        <v>2019</v>
      </c>
      <c r="F27" s="1">
        <v>2020</v>
      </c>
      <c r="G27" s="13" t="s">
        <v>18</v>
      </c>
      <c r="H27" s="14">
        <v>591</v>
      </c>
      <c r="I27" s="14">
        <v>110</v>
      </c>
      <c r="J27" s="14">
        <v>121</v>
      </c>
      <c r="K27" s="14">
        <v>0</v>
      </c>
      <c r="L27" s="15">
        <f t="shared" si="0"/>
        <v>231</v>
      </c>
      <c r="M27" s="16">
        <f t="shared" si="1"/>
        <v>0.39086294416243655</v>
      </c>
      <c r="N27" s="17">
        <v>277</v>
      </c>
      <c r="O27" s="18">
        <f t="shared" si="2"/>
        <v>0.46869712351945853</v>
      </c>
      <c r="P27" s="21" t="s">
        <v>237</v>
      </c>
      <c r="Q27" s="20">
        <f t="shared" si="3"/>
        <v>0</v>
      </c>
    </row>
    <row r="28" spans="1:17" ht="15.5" x14ac:dyDescent="0.35">
      <c r="A28" s="1" t="s">
        <v>53</v>
      </c>
      <c r="B28" s="3" t="s">
        <v>172</v>
      </c>
      <c r="C28" s="1">
        <v>1</v>
      </c>
      <c r="D28" s="1">
        <v>0</v>
      </c>
      <c r="E28" s="1">
        <v>2019</v>
      </c>
      <c r="F28" s="1">
        <v>2020</v>
      </c>
      <c r="G28" s="13" t="s">
        <v>113</v>
      </c>
      <c r="H28" s="14">
        <v>8506</v>
      </c>
      <c r="I28" s="14">
        <v>1225</v>
      </c>
      <c r="J28" s="14">
        <v>1151</v>
      </c>
      <c r="K28" s="14">
        <v>0</v>
      </c>
      <c r="L28" s="15">
        <f t="shared" si="0"/>
        <v>2376</v>
      </c>
      <c r="M28" s="16">
        <f t="shared" si="1"/>
        <v>0.27933223606865742</v>
      </c>
      <c r="N28" s="17">
        <v>3423</v>
      </c>
      <c r="O28" s="18">
        <f t="shared" si="2"/>
        <v>0.40242181989184106</v>
      </c>
      <c r="P28" s="21" t="s">
        <v>237</v>
      </c>
      <c r="Q28" s="20">
        <f t="shared" si="3"/>
        <v>0</v>
      </c>
    </row>
    <row r="29" spans="1:17" ht="15.5" x14ac:dyDescent="0.35">
      <c r="A29" s="1" t="s">
        <v>53</v>
      </c>
      <c r="B29" s="3" t="s">
        <v>19</v>
      </c>
      <c r="C29" s="1">
        <v>1</v>
      </c>
      <c r="D29" s="1">
        <v>0</v>
      </c>
      <c r="E29" s="1">
        <v>2019</v>
      </c>
      <c r="F29" s="1">
        <v>2020</v>
      </c>
      <c r="G29" s="13" t="s">
        <v>246</v>
      </c>
      <c r="H29" s="14">
        <v>1317</v>
      </c>
      <c r="I29" s="14">
        <v>157</v>
      </c>
      <c r="J29" s="14">
        <v>9</v>
      </c>
      <c r="K29" s="14">
        <f>297+201</f>
        <v>498</v>
      </c>
      <c r="L29" s="15">
        <f t="shared" si="0"/>
        <v>664</v>
      </c>
      <c r="M29" s="16">
        <f t="shared" si="1"/>
        <v>0.50417615793470005</v>
      </c>
      <c r="N29" s="17">
        <v>849</v>
      </c>
      <c r="O29" s="18">
        <f t="shared" si="2"/>
        <v>0.6446469248291572</v>
      </c>
      <c r="P29" s="21" t="s">
        <v>237</v>
      </c>
      <c r="Q29" s="20">
        <f t="shared" si="3"/>
        <v>0</v>
      </c>
    </row>
    <row r="30" spans="1:17" ht="15.5" x14ac:dyDescent="0.35">
      <c r="A30" s="1" t="s">
        <v>53</v>
      </c>
      <c r="B30" s="3" t="s">
        <v>70</v>
      </c>
      <c r="C30" s="1">
        <v>1</v>
      </c>
      <c r="D30" s="1">
        <v>0</v>
      </c>
      <c r="E30" s="1">
        <v>2019</v>
      </c>
      <c r="F30" s="1">
        <v>2020</v>
      </c>
      <c r="G30" s="13" t="s">
        <v>247</v>
      </c>
      <c r="H30" s="14">
        <v>2072</v>
      </c>
      <c r="I30" s="14">
        <v>0</v>
      </c>
      <c r="J30" s="14">
        <v>0</v>
      </c>
      <c r="K30" s="14">
        <f>240+79+216+250+264</f>
        <v>1049</v>
      </c>
      <c r="L30" s="15">
        <f t="shared" si="0"/>
        <v>1049</v>
      </c>
      <c r="M30" s="16">
        <f t="shared" si="1"/>
        <v>0.50627413127413123</v>
      </c>
      <c r="N30" s="17">
        <v>1203</v>
      </c>
      <c r="O30" s="18">
        <f t="shared" si="2"/>
        <v>0.58059845559845558</v>
      </c>
      <c r="P30" s="21" t="s">
        <v>237</v>
      </c>
      <c r="Q30" s="20">
        <f t="shared" si="3"/>
        <v>0</v>
      </c>
    </row>
    <row r="31" spans="1:17" ht="15.5" x14ac:dyDescent="0.35">
      <c r="A31" s="1" t="s">
        <v>53</v>
      </c>
      <c r="B31" s="3" t="s">
        <v>128</v>
      </c>
      <c r="C31" s="1">
        <v>1</v>
      </c>
      <c r="D31" s="1">
        <v>0</v>
      </c>
      <c r="E31" s="1">
        <v>2019</v>
      </c>
      <c r="F31" s="1">
        <v>2020</v>
      </c>
      <c r="G31" s="13" t="s">
        <v>221</v>
      </c>
      <c r="H31" s="14">
        <v>4365</v>
      </c>
      <c r="I31" s="14">
        <v>1093</v>
      </c>
      <c r="J31" s="14">
        <v>654</v>
      </c>
      <c r="K31" s="14">
        <v>0</v>
      </c>
      <c r="L31" s="15">
        <f t="shared" si="0"/>
        <v>1747</v>
      </c>
      <c r="M31" s="16">
        <f t="shared" si="1"/>
        <v>0.40022909507445592</v>
      </c>
      <c r="N31" s="17">
        <v>2189</v>
      </c>
      <c r="O31" s="18">
        <f t="shared" si="2"/>
        <v>0.50148911798396334</v>
      </c>
      <c r="P31" s="21" t="s">
        <v>237</v>
      </c>
      <c r="Q31" s="20">
        <f t="shared" si="3"/>
        <v>0</v>
      </c>
    </row>
    <row r="32" spans="1:17" ht="15.5" x14ac:dyDescent="0.35">
      <c r="A32" s="1" t="s">
        <v>53</v>
      </c>
      <c r="B32" s="3" t="s">
        <v>186</v>
      </c>
      <c r="C32" s="1">
        <v>1</v>
      </c>
      <c r="D32" s="1">
        <v>0</v>
      </c>
      <c r="E32" s="1">
        <v>2019</v>
      </c>
      <c r="F32" s="1">
        <v>2020</v>
      </c>
      <c r="G32" s="13" t="s">
        <v>248</v>
      </c>
      <c r="H32" s="14">
        <v>1308</v>
      </c>
      <c r="I32" s="14">
        <v>161</v>
      </c>
      <c r="J32" s="14">
        <v>82</v>
      </c>
      <c r="K32" s="14">
        <f>244+288</f>
        <v>532</v>
      </c>
      <c r="L32" s="15">
        <f t="shared" si="0"/>
        <v>775</v>
      </c>
      <c r="M32" s="16">
        <f t="shared" si="1"/>
        <v>0.59250764525993882</v>
      </c>
      <c r="N32" s="17">
        <v>879</v>
      </c>
      <c r="O32" s="18">
        <f t="shared" si="2"/>
        <v>0.67201834862385323</v>
      </c>
      <c r="P32" s="21" t="s">
        <v>237</v>
      </c>
      <c r="Q32" s="20">
        <f t="shared" si="3"/>
        <v>0</v>
      </c>
    </row>
    <row r="33" spans="1:19" ht="15.5" x14ac:dyDescent="0.35">
      <c r="A33" s="1" t="s">
        <v>53</v>
      </c>
      <c r="B33" s="3" t="s">
        <v>20</v>
      </c>
      <c r="C33" s="1">
        <v>1</v>
      </c>
      <c r="D33" s="1">
        <v>0</v>
      </c>
      <c r="E33" s="1">
        <v>2019</v>
      </c>
      <c r="F33" s="1">
        <v>2020</v>
      </c>
      <c r="G33" s="13" t="s">
        <v>129</v>
      </c>
      <c r="H33" s="14">
        <v>187333</v>
      </c>
      <c r="I33" s="14">
        <v>13209</v>
      </c>
      <c r="J33" s="14">
        <v>17383</v>
      </c>
      <c r="K33" s="14">
        <f>374+627+340+319+526+467+321+284+372+590+298+261+407+288+160+233+373+357+282</f>
        <v>6879</v>
      </c>
      <c r="L33" s="15">
        <f t="shared" si="0"/>
        <v>37471</v>
      </c>
      <c r="M33" s="16">
        <f t="shared" si="1"/>
        <v>0.20002348758627683</v>
      </c>
      <c r="N33" s="17">
        <v>27100</v>
      </c>
      <c r="O33" s="18">
        <f t="shared" si="2"/>
        <v>0.14466217911419771</v>
      </c>
      <c r="P33" s="23">
        <v>33803</v>
      </c>
      <c r="Q33" s="20">
        <f t="shared" si="3"/>
        <v>0.18044338157185333</v>
      </c>
      <c r="S33" s="5" t="s">
        <v>233</v>
      </c>
    </row>
    <row r="34" spans="1:19" ht="15.5" x14ac:dyDescent="0.35">
      <c r="A34" s="1" t="s">
        <v>53</v>
      </c>
      <c r="B34" s="3" t="s">
        <v>114</v>
      </c>
      <c r="C34" s="1">
        <v>1</v>
      </c>
      <c r="D34" s="1">
        <v>0</v>
      </c>
      <c r="E34" s="1">
        <v>2019</v>
      </c>
      <c r="F34" s="1">
        <v>2020</v>
      </c>
      <c r="G34" s="13" t="s">
        <v>212</v>
      </c>
      <c r="H34" s="14">
        <v>11170</v>
      </c>
      <c r="I34" s="14">
        <v>811</v>
      </c>
      <c r="J34" s="14">
        <v>1162</v>
      </c>
      <c r="K34" s="14">
        <v>40</v>
      </c>
      <c r="L34" s="15">
        <f t="shared" si="0"/>
        <v>2013</v>
      </c>
      <c r="M34" s="16">
        <f t="shared" si="1"/>
        <v>0.18021486123545211</v>
      </c>
      <c r="N34" s="17">
        <v>2677</v>
      </c>
      <c r="O34" s="18">
        <f t="shared" si="2"/>
        <v>0.2396598030438675</v>
      </c>
      <c r="P34" s="21" t="s">
        <v>237</v>
      </c>
      <c r="Q34" s="20">
        <f t="shared" si="3"/>
        <v>0</v>
      </c>
    </row>
    <row r="35" spans="1:19" ht="15.5" x14ac:dyDescent="0.35">
      <c r="A35" s="1" t="s">
        <v>53</v>
      </c>
      <c r="B35" s="3" t="s">
        <v>173</v>
      </c>
      <c r="C35" s="1">
        <v>1</v>
      </c>
      <c r="D35" s="1">
        <v>0</v>
      </c>
      <c r="E35" s="1">
        <v>2019</v>
      </c>
      <c r="F35" s="1">
        <v>2020</v>
      </c>
      <c r="G35" s="13" t="s">
        <v>92</v>
      </c>
      <c r="H35" s="14">
        <v>1919</v>
      </c>
      <c r="I35" s="14">
        <v>331</v>
      </c>
      <c r="J35" s="14">
        <v>306</v>
      </c>
      <c r="K35" s="14">
        <v>0</v>
      </c>
      <c r="L35" s="15">
        <f t="shared" si="0"/>
        <v>637</v>
      </c>
      <c r="M35" s="16">
        <f t="shared" si="1"/>
        <v>0.33194372068785827</v>
      </c>
      <c r="N35" s="17">
        <v>867</v>
      </c>
      <c r="O35" s="18">
        <f t="shared" si="2"/>
        <v>0.4517978113600834</v>
      </c>
      <c r="P35" s="21" t="s">
        <v>237</v>
      </c>
      <c r="Q35" s="20">
        <f t="shared" si="3"/>
        <v>0</v>
      </c>
    </row>
    <row r="36" spans="1:19" ht="15.5" x14ac:dyDescent="0.35">
      <c r="A36" s="1" t="s">
        <v>53</v>
      </c>
      <c r="B36" s="3" t="s">
        <v>5</v>
      </c>
      <c r="C36" s="1">
        <v>1</v>
      </c>
      <c r="D36" s="1">
        <v>0</v>
      </c>
      <c r="E36" s="1">
        <v>2019</v>
      </c>
      <c r="F36" s="1">
        <v>2020</v>
      </c>
      <c r="G36" s="13" t="s">
        <v>46</v>
      </c>
      <c r="H36" s="14">
        <v>3566</v>
      </c>
      <c r="I36" s="14">
        <v>468</v>
      </c>
      <c r="J36" s="14">
        <v>355</v>
      </c>
      <c r="K36" s="14">
        <v>0</v>
      </c>
      <c r="L36" s="15">
        <f t="shared" si="0"/>
        <v>823</v>
      </c>
      <c r="M36" s="16">
        <f t="shared" si="1"/>
        <v>0.23079080201906899</v>
      </c>
      <c r="N36" s="17">
        <v>1308</v>
      </c>
      <c r="O36" s="18">
        <f t="shared" si="2"/>
        <v>0.36679753224901851</v>
      </c>
      <c r="P36" s="21" t="s">
        <v>237</v>
      </c>
      <c r="Q36" s="20">
        <f t="shared" si="3"/>
        <v>0</v>
      </c>
    </row>
    <row r="37" spans="1:19" ht="15.5" x14ac:dyDescent="0.35">
      <c r="A37" s="1" t="s">
        <v>53</v>
      </c>
      <c r="B37" s="3" t="s">
        <v>71</v>
      </c>
      <c r="C37" s="1">
        <v>1</v>
      </c>
      <c r="D37" s="1">
        <v>0</v>
      </c>
      <c r="E37" s="1">
        <v>2019</v>
      </c>
      <c r="F37" s="1">
        <v>2020</v>
      </c>
      <c r="G37" s="13" t="s">
        <v>148</v>
      </c>
      <c r="H37" s="14">
        <v>6938</v>
      </c>
      <c r="I37" s="14">
        <v>1619</v>
      </c>
      <c r="J37" s="14">
        <v>1008</v>
      </c>
      <c r="K37" s="14">
        <f>106+202+207+111+217</f>
        <v>843</v>
      </c>
      <c r="L37" s="15">
        <f t="shared" si="0"/>
        <v>3470</v>
      </c>
      <c r="M37" s="16">
        <f t="shared" si="1"/>
        <v>0.50014413375612565</v>
      </c>
      <c r="N37" s="17">
        <v>3323</v>
      </c>
      <c r="O37" s="18">
        <f t="shared" si="2"/>
        <v>0.47895647160565002</v>
      </c>
      <c r="P37" s="23">
        <v>3476</v>
      </c>
      <c r="Q37" s="20">
        <f t="shared" si="3"/>
        <v>0.50100893629287979</v>
      </c>
    </row>
    <row r="38" spans="1:19" ht="15.5" x14ac:dyDescent="0.35">
      <c r="A38" s="1" t="s">
        <v>53</v>
      </c>
      <c r="B38" s="3" t="s">
        <v>130</v>
      </c>
      <c r="C38" s="1">
        <v>1</v>
      </c>
      <c r="D38" s="1">
        <v>0</v>
      </c>
      <c r="E38" s="1">
        <v>2019</v>
      </c>
      <c r="F38" s="1">
        <v>2020</v>
      </c>
      <c r="G38" s="13" t="s">
        <v>103</v>
      </c>
      <c r="H38" s="14">
        <v>14041</v>
      </c>
      <c r="I38" s="14">
        <v>1421</v>
      </c>
      <c r="J38" s="14">
        <v>1482</v>
      </c>
      <c r="K38" s="14">
        <v>0</v>
      </c>
      <c r="L38" s="15">
        <f t="shared" si="0"/>
        <v>2903</v>
      </c>
      <c r="M38" s="16">
        <f t="shared" si="1"/>
        <v>0.20675165586496688</v>
      </c>
      <c r="N38" s="17">
        <v>3898</v>
      </c>
      <c r="O38" s="18">
        <f t="shared" si="2"/>
        <v>0.27761555444768893</v>
      </c>
      <c r="P38" s="21" t="s">
        <v>237</v>
      </c>
      <c r="Q38" s="20">
        <f t="shared" si="3"/>
        <v>0</v>
      </c>
    </row>
    <row r="39" spans="1:19" ht="15.5" x14ac:dyDescent="0.35">
      <c r="A39" s="1" t="s">
        <v>53</v>
      </c>
      <c r="B39" s="3" t="s">
        <v>187</v>
      </c>
      <c r="C39" s="1">
        <v>1</v>
      </c>
      <c r="D39" s="1">
        <v>0</v>
      </c>
      <c r="E39" s="1">
        <v>2019</v>
      </c>
      <c r="F39" s="1">
        <v>2020</v>
      </c>
      <c r="G39" s="13" t="s">
        <v>222</v>
      </c>
      <c r="H39" s="14">
        <v>2292</v>
      </c>
      <c r="I39" s="14">
        <v>405</v>
      </c>
      <c r="J39" s="14">
        <v>340</v>
      </c>
      <c r="K39" s="14">
        <v>0</v>
      </c>
      <c r="L39" s="15">
        <f t="shared" si="0"/>
        <v>745</v>
      </c>
      <c r="M39" s="16">
        <f t="shared" si="1"/>
        <v>0.32504363001745201</v>
      </c>
      <c r="N39" s="17">
        <v>928</v>
      </c>
      <c r="O39" s="18">
        <f t="shared" si="2"/>
        <v>0.4048865619546248</v>
      </c>
      <c r="P39" s="21" t="s">
        <v>237</v>
      </c>
      <c r="Q39" s="20">
        <f t="shared" si="3"/>
        <v>0</v>
      </c>
    </row>
    <row r="40" spans="1:19" ht="15.5" x14ac:dyDescent="0.35">
      <c r="A40" s="1" t="s">
        <v>53</v>
      </c>
      <c r="B40" s="3" t="s">
        <v>21</v>
      </c>
      <c r="C40" s="1">
        <v>1</v>
      </c>
      <c r="D40" s="1">
        <v>0</v>
      </c>
      <c r="E40" s="1">
        <v>2019</v>
      </c>
      <c r="F40" s="1">
        <v>2020</v>
      </c>
      <c r="G40" s="13" t="s">
        <v>149</v>
      </c>
      <c r="H40" s="14">
        <v>5319</v>
      </c>
      <c r="I40" s="14">
        <v>809</v>
      </c>
      <c r="J40" s="14">
        <v>547</v>
      </c>
      <c r="K40" s="14">
        <v>0</v>
      </c>
      <c r="L40" s="15">
        <f t="shared" si="0"/>
        <v>1356</v>
      </c>
      <c r="M40" s="16">
        <f t="shared" si="1"/>
        <v>0.25493513818386915</v>
      </c>
      <c r="N40" s="17">
        <v>1959</v>
      </c>
      <c r="O40" s="18">
        <f t="shared" si="2"/>
        <v>0.36830231246474904</v>
      </c>
      <c r="P40" s="21" t="s">
        <v>237</v>
      </c>
      <c r="Q40" s="20">
        <f t="shared" si="3"/>
        <v>0</v>
      </c>
    </row>
    <row r="41" spans="1:19" ht="15.5" x14ac:dyDescent="0.35">
      <c r="A41" s="1" t="s">
        <v>53</v>
      </c>
      <c r="B41" s="3" t="s">
        <v>72</v>
      </c>
      <c r="C41" s="1">
        <v>1</v>
      </c>
      <c r="D41" s="1">
        <v>0</v>
      </c>
      <c r="E41" s="1">
        <v>2019</v>
      </c>
      <c r="F41" s="1">
        <v>2020</v>
      </c>
      <c r="G41" s="13" t="s">
        <v>104</v>
      </c>
      <c r="H41" s="14">
        <v>2642</v>
      </c>
      <c r="I41" s="14">
        <v>206</v>
      </c>
      <c r="J41" s="14">
        <v>200</v>
      </c>
      <c r="K41" s="14">
        <v>0</v>
      </c>
      <c r="L41" s="15">
        <f t="shared" si="0"/>
        <v>406</v>
      </c>
      <c r="M41" s="16">
        <f t="shared" si="1"/>
        <v>0.15367146101438303</v>
      </c>
      <c r="N41" s="17">
        <v>720</v>
      </c>
      <c r="O41" s="18">
        <f t="shared" si="2"/>
        <v>0.27252081756245267</v>
      </c>
      <c r="P41" s="21" t="s">
        <v>237</v>
      </c>
      <c r="Q41" s="20">
        <f t="shared" si="3"/>
        <v>0</v>
      </c>
    </row>
    <row r="42" spans="1:19" ht="15.5" x14ac:dyDescent="0.35">
      <c r="A42" s="1" t="s">
        <v>53</v>
      </c>
      <c r="B42" s="3" t="s">
        <v>131</v>
      </c>
      <c r="C42" s="1">
        <v>1</v>
      </c>
      <c r="D42" s="1">
        <v>0</v>
      </c>
      <c r="E42" s="1">
        <v>2019</v>
      </c>
      <c r="F42" s="1">
        <v>2020</v>
      </c>
      <c r="G42" s="13" t="s">
        <v>249</v>
      </c>
      <c r="H42" s="14">
        <v>1560</v>
      </c>
      <c r="I42" s="14">
        <v>369</v>
      </c>
      <c r="J42" s="14">
        <v>215</v>
      </c>
      <c r="K42" s="14">
        <f>153</f>
        <v>153</v>
      </c>
      <c r="L42" s="15">
        <f t="shared" si="0"/>
        <v>737</v>
      </c>
      <c r="M42" s="16">
        <f t="shared" si="1"/>
        <v>0.47243589743589742</v>
      </c>
      <c r="N42" s="17">
        <v>844</v>
      </c>
      <c r="O42" s="18">
        <f t="shared" si="2"/>
        <v>0.54102564102564099</v>
      </c>
      <c r="P42" s="21" t="s">
        <v>237</v>
      </c>
      <c r="Q42" s="20">
        <f t="shared" si="3"/>
        <v>0</v>
      </c>
    </row>
    <row r="43" spans="1:19" ht="15.5" x14ac:dyDescent="0.35">
      <c r="A43" s="1" t="s">
        <v>53</v>
      </c>
      <c r="B43" s="3" t="s">
        <v>188</v>
      </c>
      <c r="C43" s="1">
        <v>1</v>
      </c>
      <c r="D43" s="1">
        <v>0</v>
      </c>
      <c r="E43" s="1">
        <v>2019</v>
      </c>
      <c r="F43" s="1">
        <v>2020</v>
      </c>
      <c r="G43" s="13" t="s">
        <v>150</v>
      </c>
      <c r="H43" s="14">
        <v>3029</v>
      </c>
      <c r="I43" s="14">
        <v>540</v>
      </c>
      <c r="J43" s="14">
        <v>361</v>
      </c>
      <c r="K43" s="14">
        <v>0</v>
      </c>
      <c r="L43" s="15">
        <f t="shared" si="0"/>
        <v>901</v>
      </c>
      <c r="M43" s="16">
        <f t="shared" si="1"/>
        <v>0.29745790689996698</v>
      </c>
      <c r="N43" s="17">
        <v>1112</v>
      </c>
      <c r="O43" s="18">
        <f t="shared" si="2"/>
        <v>0.36711786068009244</v>
      </c>
      <c r="P43" s="21" t="s">
        <v>237</v>
      </c>
      <c r="Q43" s="20">
        <f t="shared" si="3"/>
        <v>0</v>
      </c>
    </row>
    <row r="44" spans="1:19" ht="15.5" x14ac:dyDescent="0.35">
      <c r="A44" s="1" t="s">
        <v>53</v>
      </c>
      <c r="B44" s="3" t="s">
        <v>59</v>
      </c>
      <c r="C44" s="1">
        <v>1</v>
      </c>
      <c r="D44" s="1">
        <v>0</v>
      </c>
      <c r="E44" s="1">
        <v>2019</v>
      </c>
      <c r="F44" s="1">
        <v>2020</v>
      </c>
      <c r="G44" s="13" t="s">
        <v>250</v>
      </c>
      <c r="H44" s="14">
        <v>2232</v>
      </c>
      <c r="I44" s="14">
        <v>0</v>
      </c>
      <c r="J44" s="14">
        <v>0</v>
      </c>
      <c r="K44" s="14">
        <f>135+363+295+604</f>
        <v>1397</v>
      </c>
      <c r="L44" s="15">
        <f t="shared" si="0"/>
        <v>1397</v>
      </c>
      <c r="M44" s="16">
        <f t="shared" si="1"/>
        <v>0.62589605734767029</v>
      </c>
      <c r="N44" s="17">
        <v>1578</v>
      </c>
      <c r="O44" s="18">
        <f t="shared" si="2"/>
        <v>0.706989247311828</v>
      </c>
      <c r="P44" s="21" t="s">
        <v>237</v>
      </c>
      <c r="Q44" s="20">
        <f t="shared" si="3"/>
        <v>0</v>
      </c>
    </row>
    <row r="45" spans="1:19" ht="15.5" x14ac:dyDescent="0.35">
      <c r="A45" s="1" t="s">
        <v>53</v>
      </c>
      <c r="B45" s="3" t="s">
        <v>115</v>
      </c>
      <c r="C45" s="1">
        <v>1</v>
      </c>
      <c r="D45" s="1">
        <v>0</v>
      </c>
      <c r="E45" s="1">
        <v>2019</v>
      </c>
      <c r="F45" s="1">
        <v>2020</v>
      </c>
      <c r="G45" s="13" t="s">
        <v>251</v>
      </c>
      <c r="H45" s="14">
        <v>4889</v>
      </c>
      <c r="I45" s="14">
        <v>0</v>
      </c>
      <c r="J45" s="14">
        <v>0</v>
      </c>
      <c r="K45" s="14">
        <f>698+583+132+161+85+84+392+241+175+67</f>
        <v>2618</v>
      </c>
      <c r="L45" s="15">
        <f t="shared" si="0"/>
        <v>2618</v>
      </c>
      <c r="M45" s="16">
        <f t="shared" si="1"/>
        <v>0.53548782982204945</v>
      </c>
      <c r="N45" s="17">
        <v>4090</v>
      </c>
      <c r="O45" s="18">
        <f t="shared" si="2"/>
        <v>0.83657189609327065</v>
      </c>
      <c r="P45" s="21" t="s">
        <v>237</v>
      </c>
      <c r="Q45" s="20">
        <f t="shared" si="3"/>
        <v>0</v>
      </c>
    </row>
    <row r="46" spans="1:19" ht="15.5" x14ac:dyDescent="0.35">
      <c r="A46" s="1" t="s">
        <v>53</v>
      </c>
      <c r="B46" s="3" t="s">
        <v>189</v>
      </c>
      <c r="C46" s="1">
        <v>1</v>
      </c>
      <c r="D46" s="1">
        <v>0</v>
      </c>
      <c r="E46" s="1">
        <v>2019</v>
      </c>
      <c r="F46" s="1">
        <v>2020</v>
      </c>
      <c r="G46" s="13" t="s">
        <v>38</v>
      </c>
      <c r="H46" s="14">
        <v>17705</v>
      </c>
      <c r="I46" s="14">
        <v>1276</v>
      </c>
      <c r="J46" s="14">
        <v>1215</v>
      </c>
      <c r="K46" s="14">
        <v>0</v>
      </c>
      <c r="L46" s="15">
        <f t="shared" si="0"/>
        <v>2491</v>
      </c>
      <c r="M46" s="16">
        <f t="shared" si="1"/>
        <v>0.14069471900593053</v>
      </c>
      <c r="N46" s="17">
        <v>3316</v>
      </c>
      <c r="O46" s="18">
        <f t="shared" si="2"/>
        <v>0.18729172550127082</v>
      </c>
      <c r="P46" s="21" t="s">
        <v>237</v>
      </c>
      <c r="Q46" s="20">
        <f t="shared" si="3"/>
        <v>0</v>
      </c>
    </row>
    <row r="47" spans="1:19" ht="15.5" x14ac:dyDescent="0.35">
      <c r="A47" s="1" t="s">
        <v>53</v>
      </c>
      <c r="B47" s="3" t="s">
        <v>22</v>
      </c>
      <c r="C47" s="1">
        <v>1</v>
      </c>
      <c r="D47" s="1">
        <v>0</v>
      </c>
      <c r="E47" s="1">
        <v>2019</v>
      </c>
      <c r="F47" s="1">
        <v>2020</v>
      </c>
      <c r="G47" s="13" t="s">
        <v>116</v>
      </c>
      <c r="H47" s="14">
        <v>51723</v>
      </c>
      <c r="I47" s="14">
        <v>9232</v>
      </c>
      <c r="J47" s="14">
        <v>5353</v>
      </c>
      <c r="K47" s="14">
        <f>354+229+307+236+206+99+267+221+311+498+262+131+248+263+252+428+258+426+270</f>
        <v>5266</v>
      </c>
      <c r="L47" s="15">
        <f t="shared" si="0"/>
        <v>19851</v>
      </c>
      <c r="M47" s="16">
        <f t="shared" si="1"/>
        <v>0.38379444347775649</v>
      </c>
      <c r="N47" s="17">
        <v>17871</v>
      </c>
      <c r="O47" s="18">
        <f t="shared" si="2"/>
        <v>0.34551360129922859</v>
      </c>
      <c r="P47" s="21" t="s">
        <v>237</v>
      </c>
      <c r="Q47" s="20">
        <f t="shared" si="3"/>
        <v>0</v>
      </c>
    </row>
    <row r="48" spans="1:19" ht="15.5" x14ac:dyDescent="0.35">
      <c r="A48" s="1" t="s">
        <v>53</v>
      </c>
      <c r="B48" s="3" t="s">
        <v>73</v>
      </c>
      <c r="C48" s="1">
        <v>1</v>
      </c>
      <c r="D48" s="1">
        <v>0</v>
      </c>
      <c r="E48" s="1">
        <v>2019</v>
      </c>
      <c r="F48" s="1">
        <v>2020</v>
      </c>
      <c r="G48" s="13" t="s">
        <v>252</v>
      </c>
      <c r="H48" s="14">
        <v>7417</v>
      </c>
      <c r="I48" s="14">
        <v>0</v>
      </c>
      <c r="J48" s="14">
        <v>0</v>
      </c>
      <c r="K48" s="14">
        <f>67+391+197+164+531+469+181+341+259+244+505+394+170+289</f>
        <v>4202</v>
      </c>
      <c r="L48" s="15">
        <f t="shared" si="0"/>
        <v>4202</v>
      </c>
      <c r="M48" s="16">
        <f t="shared" si="1"/>
        <v>0.566536335445598</v>
      </c>
      <c r="N48" s="17">
        <v>4612</v>
      </c>
      <c r="O48" s="18">
        <f t="shared" si="2"/>
        <v>0.62181474989888097</v>
      </c>
      <c r="P48" s="21" t="s">
        <v>237</v>
      </c>
      <c r="Q48" s="20">
        <f t="shared" si="3"/>
        <v>0</v>
      </c>
    </row>
    <row r="49" spans="1:17" ht="15.5" x14ac:dyDescent="0.35">
      <c r="A49" s="1" t="s">
        <v>53</v>
      </c>
      <c r="B49" s="3" t="s">
        <v>132</v>
      </c>
      <c r="C49" s="1">
        <v>1</v>
      </c>
      <c r="D49" s="1">
        <v>0</v>
      </c>
      <c r="E49" s="1">
        <v>2019</v>
      </c>
      <c r="F49" s="1">
        <v>2020</v>
      </c>
      <c r="G49" s="13" t="s">
        <v>93</v>
      </c>
      <c r="H49" s="14">
        <v>218</v>
      </c>
      <c r="I49" s="14">
        <v>17</v>
      </c>
      <c r="J49" s="14">
        <v>49</v>
      </c>
      <c r="K49" s="14">
        <v>0</v>
      </c>
      <c r="L49" s="15">
        <f t="shared" si="0"/>
        <v>66</v>
      </c>
      <c r="M49" s="16">
        <f t="shared" si="1"/>
        <v>0.30275229357798167</v>
      </c>
      <c r="N49" s="17">
        <v>66</v>
      </c>
      <c r="O49" s="18">
        <f t="shared" si="2"/>
        <v>0.30275229357798167</v>
      </c>
      <c r="P49" s="21" t="s">
        <v>237</v>
      </c>
      <c r="Q49" s="20">
        <f t="shared" si="3"/>
        <v>0</v>
      </c>
    </row>
    <row r="50" spans="1:17" ht="15.5" x14ac:dyDescent="0.35">
      <c r="A50" s="1" t="s">
        <v>53</v>
      </c>
      <c r="B50" s="3" t="s">
        <v>190</v>
      </c>
      <c r="C50" s="1">
        <v>1</v>
      </c>
      <c r="D50" s="1">
        <v>0</v>
      </c>
      <c r="E50" s="1">
        <v>2019</v>
      </c>
      <c r="F50" s="1">
        <v>2020</v>
      </c>
      <c r="G50" s="13" t="s">
        <v>105</v>
      </c>
      <c r="H50" s="14">
        <v>5666</v>
      </c>
      <c r="I50" s="14">
        <v>849</v>
      </c>
      <c r="J50" s="14">
        <v>593</v>
      </c>
      <c r="K50" s="14">
        <v>0</v>
      </c>
      <c r="L50" s="15">
        <f t="shared" si="0"/>
        <v>1442</v>
      </c>
      <c r="M50" s="16">
        <f t="shared" si="1"/>
        <v>0.25450052947405577</v>
      </c>
      <c r="N50" s="17">
        <v>1653</v>
      </c>
      <c r="O50" s="18">
        <f t="shared" si="2"/>
        <v>0.29174020472996826</v>
      </c>
      <c r="P50" s="21" t="s">
        <v>237</v>
      </c>
      <c r="Q50" s="20">
        <f t="shared" si="3"/>
        <v>0</v>
      </c>
    </row>
    <row r="51" spans="1:17" ht="15.5" x14ac:dyDescent="0.35">
      <c r="A51" s="1" t="s">
        <v>53</v>
      </c>
      <c r="B51" s="3" t="s">
        <v>74</v>
      </c>
      <c r="C51" s="1">
        <v>1</v>
      </c>
      <c r="D51" s="1">
        <v>0</v>
      </c>
      <c r="E51" s="1">
        <v>2019</v>
      </c>
      <c r="F51" s="1">
        <v>2020</v>
      </c>
      <c r="G51" s="13" t="s">
        <v>6</v>
      </c>
      <c r="H51" s="14">
        <v>4575</v>
      </c>
      <c r="I51" s="14">
        <v>532</v>
      </c>
      <c r="J51" s="14">
        <v>345</v>
      </c>
      <c r="K51" s="14">
        <v>0</v>
      </c>
      <c r="L51" s="15">
        <f t="shared" si="0"/>
        <v>877</v>
      </c>
      <c r="M51" s="16">
        <f t="shared" si="1"/>
        <v>0.19169398907103824</v>
      </c>
      <c r="N51" s="17">
        <v>1279</v>
      </c>
      <c r="O51" s="18">
        <f t="shared" si="2"/>
        <v>0.27956284153005462</v>
      </c>
      <c r="P51" s="21" t="s">
        <v>237</v>
      </c>
      <c r="Q51" s="20">
        <f t="shared" si="3"/>
        <v>0</v>
      </c>
    </row>
    <row r="52" spans="1:17" ht="15.5" x14ac:dyDescent="0.35">
      <c r="A52" s="1" t="s">
        <v>53</v>
      </c>
      <c r="B52" s="3" t="s">
        <v>133</v>
      </c>
      <c r="C52" s="1">
        <v>1</v>
      </c>
      <c r="D52" s="1">
        <v>0</v>
      </c>
      <c r="E52" s="1">
        <v>2019</v>
      </c>
      <c r="F52" s="1">
        <v>2020</v>
      </c>
      <c r="G52" s="13" t="s">
        <v>253</v>
      </c>
      <c r="H52" s="14">
        <v>625</v>
      </c>
      <c r="I52" s="14">
        <v>225</v>
      </c>
      <c r="J52" s="14">
        <v>72</v>
      </c>
      <c r="K52" s="14">
        <v>0</v>
      </c>
      <c r="L52" s="15">
        <f t="shared" si="0"/>
        <v>297</v>
      </c>
      <c r="M52" s="16">
        <f t="shared" si="1"/>
        <v>0.47520000000000001</v>
      </c>
      <c r="N52" s="17">
        <v>398</v>
      </c>
      <c r="O52" s="18">
        <f t="shared" si="2"/>
        <v>0.63680000000000003</v>
      </c>
      <c r="P52" s="21" t="s">
        <v>237</v>
      </c>
      <c r="Q52" s="20">
        <f t="shared" si="3"/>
        <v>0</v>
      </c>
    </row>
    <row r="53" spans="1:17" ht="15.5" x14ac:dyDescent="0.35">
      <c r="A53" s="1" t="s">
        <v>53</v>
      </c>
      <c r="B53" s="3" t="s">
        <v>23</v>
      </c>
      <c r="C53" s="1">
        <v>1</v>
      </c>
      <c r="D53" s="1">
        <v>0</v>
      </c>
      <c r="E53" s="1">
        <v>2019</v>
      </c>
      <c r="F53" s="1">
        <v>2020</v>
      </c>
      <c r="G53" s="13" t="s">
        <v>191</v>
      </c>
      <c r="H53" s="14">
        <v>2203</v>
      </c>
      <c r="I53" s="14">
        <v>267</v>
      </c>
      <c r="J53" s="14">
        <v>232</v>
      </c>
      <c r="K53" s="14">
        <v>0</v>
      </c>
      <c r="L53" s="15">
        <f t="shared" si="0"/>
        <v>499</v>
      </c>
      <c r="M53" s="16">
        <f t="shared" si="1"/>
        <v>0.22650930549251022</v>
      </c>
      <c r="N53" s="17">
        <v>662</v>
      </c>
      <c r="O53" s="18">
        <f t="shared" si="2"/>
        <v>0.30049931911030414</v>
      </c>
      <c r="P53" s="21" t="s">
        <v>237</v>
      </c>
      <c r="Q53" s="20">
        <f t="shared" si="3"/>
        <v>0</v>
      </c>
    </row>
    <row r="54" spans="1:17" ht="15.5" x14ac:dyDescent="0.35">
      <c r="A54" s="1" t="s">
        <v>53</v>
      </c>
      <c r="B54" s="3" t="s">
        <v>75</v>
      </c>
      <c r="C54" s="1">
        <v>1</v>
      </c>
      <c r="D54" s="1">
        <v>0</v>
      </c>
      <c r="E54" s="1">
        <v>2019</v>
      </c>
      <c r="F54" s="1">
        <v>2020</v>
      </c>
      <c r="G54" s="13" t="s">
        <v>254</v>
      </c>
      <c r="H54" s="14">
        <v>1136</v>
      </c>
      <c r="I54" s="14">
        <v>382</v>
      </c>
      <c r="J54" s="14">
        <v>162</v>
      </c>
      <c r="K54" s="14">
        <v>0</v>
      </c>
      <c r="L54" s="15">
        <f t="shared" si="0"/>
        <v>544</v>
      </c>
      <c r="M54" s="16">
        <f t="shared" si="1"/>
        <v>0.47887323943661969</v>
      </c>
      <c r="N54" s="17">
        <v>668</v>
      </c>
      <c r="O54" s="18">
        <f t="shared" si="2"/>
        <v>0.5880281690140845</v>
      </c>
      <c r="P54" s="21" t="s">
        <v>237</v>
      </c>
      <c r="Q54" s="20">
        <f t="shared" si="3"/>
        <v>0</v>
      </c>
    </row>
    <row r="55" spans="1:17" ht="15.5" x14ac:dyDescent="0.35">
      <c r="A55" s="1" t="s">
        <v>53</v>
      </c>
      <c r="B55" s="3" t="s">
        <v>134</v>
      </c>
      <c r="C55" s="1">
        <v>1</v>
      </c>
      <c r="D55" s="1">
        <v>0</v>
      </c>
      <c r="E55" s="1">
        <v>2019</v>
      </c>
      <c r="F55" s="1">
        <v>2020</v>
      </c>
      <c r="G55" s="13" t="s">
        <v>255</v>
      </c>
      <c r="H55" s="14">
        <v>2974</v>
      </c>
      <c r="I55" s="14">
        <v>0</v>
      </c>
      <c r="J55" s="14">
        <v>0</v>
      </c>
      <c r="K55" s="14">
        <f>221+119+202+334+185+113+226+146+90+162</f>
        <v>1798</v>
      </c>
      <c r="L55" s="15">
        <f t="shared" si="0"/>
        <v>1798</v>
      </c>
      <c r="M55" s="16">
        <f t="shared" si="1"/>
        <v>0.6045729657027572</v>
      </c>
      <c r="N55" s="17">
        <v>2049</v>
      </c>
      <c r="O55" s="18">
        <f t="shared" si="2"/>
        <v>0.68897108271687957</v>
      </c>
      <c r="P55" s="21" t="s">
        <v>237</v>
      </c>
      <c r="Q55" s="20">
        <f t="shared" si="3"/>
        <v>0</v>
      </c>
    </row>
    <row r="56" spans="1:17" ht="15.5" x14ac:dyDescent="0.35">
      <c r="A56" s="1" t="s">
        <v>53</v>
      </c>
      <c r="B56" s="3" t="s">
        <v>192</v>
      </c>
      <c r="C56" s="1">
        <v>1</v>
      </c>
      <c r="D56" s="1">
        <v>0</v>
      </c>
      <c r="E56" s="1">
        <v>2019</v>
      </c>
      <c r="F56" s="1">
        <v>2020</v>
      </c>
      <c r="G56" s="13" t="s">
        <v>213</v>
      </c>
      <c r="H56" s="14">
        <v>85193</v>
      </c>
      <c r="I56" s="14">
        <v>2487</v>
      </c>
      <c r="J56" s="14">
        <v>5920</v>
      </c>
      <c r="K56" s="14">
        <v>0</v>
      </c>
      <c r="L56" s="15">
        <f t="shared" si="0"/>
        <v>8407</v>
      </c>
      <c r="M56" s="16">
        <f t="shared" si="1"/>
        <v>9.8681816581174503E-2</v>
      </c>
      <c r="N56" s="17">
        <v>9328</v>
      </c>
      <c r="O56" s="18">
        <f t="shared" si="2"/>
        <v>0.10949256394304696</v>
      </c>
      <c r="P56" s="23">
        <v>9763</v>
      </c>
      <c r="Q56" s="20">
        <f t="shared" si="3"/>
        <v>0.1145986172572864</v>
      </c>
    </row>
    <row r="57" spans="1:17" ht="15.5" x14ac:dyDescent="0.35">
      <c r="A57" s="1" t="s">
        <v>53</v>
      </c>
      <c r="B57" s="3" t="s">
        <v>24</v>
      </c>
      <c r="C57" s="1">
        <v>1</v>
      </c>
      <c r="D57" s="1">
        <v>0</v>
      </c>
      <c r="E57" s="1">
        <v>2019</v>
      </c>
      <c r="F57" s="1">
        <v>2020</v>
      </c>
      <c r="G57" s="13" t="s">
        <v>193</v>
      </c>
      <c r="H57" s="14">
        <v>4933</v>
      </c>
      <c r="I57" s="14">
        <v>847</v>
      </c>
      <c r="J57" s="14">
        <v>647</v>
      </c>
      <c r="K57" s="14">
        <v>0</v>
      </c>
      <c r="L57" s="15">
        <f t="shared" si="0"/>
        <v>1494</v>
      </c>
      <c r="M57" s="16">
        <f t="shared" si="1"/>
        <v>0.30285830123657004</v>
      </c>
      <c r="N57" s="17">
        <v>2076</v>
      </c>
      <c r="O57" s="18">
        <f t="shared" si="2"/>
        <v>0.42083924589499289</v>
      </c>
      <c r="P57" s="21" t="s">
        <v>237</v>
      </c>
      <c r="Q57" s="20">
        <f t="shared" si="3"/>
        <v>0</v>
      </c>
    </row>
    <row r="58" spans="1:17" ht="15.5" x14ac:dyDescent="0.35">
      <c r="A58" s="1" t="s">
        <v>53</v>
      </c>
      <c r="B58" s="3" t="s">
        <v>76</v>
      </c>
      <c r="C58" s="1">
        <v>1</v>
      </c>
      <c r="D58" s="1">
        <v>0</v>
      </c>
      <c r="E58" s="1">
        <v>2019</v>
      </c>
      <c r="F58" s="1">
        <v>2020</v>
      </c>
      <c r="G58" s="13" t="s">
        <v>256</v>
      </c>
      <c r="H58" s="14">
        <v>1614</v>
      </c>
      <c r="I58" s="14">
        <v>105</v>
      </c>
      <c r="J58" s="14">
        <v>86</v>
      </c>
      <c r="K58" s="14">
        <f>195+188+201</f>
        <v>584</v>
      </c>
      <c r="L58" s="15">
        <f t="shared" si="0"/>
        <v>775</v>
      </c>
      <c r="M58" s="16">
        <f t="shared" si="1"/>
        <v>0.4801734820322181</v>
      </c>
      <c r="N58" s="17">
        <v>1030</v>
      </c>
      <c r="O58" s="18">
        <f t="shared" si="2"/>
        <v>0.63816604708798019</v>
      </c>
      <c r="P58" s="21" t="s">
        <v>237</v>
      </c>
      <c r="Q58" s="20">
        <f t="shared" si="3"/>
        <v>0</v>
      </c>
    </row>
    <row r="59" spans="1:17" ht="15.5" x14ac:dyDescent="0.35">
      <c r="A59" s="1" t="s">
        <v>53</v>
      </c>
      <c r="B59" s="3" t="s">
        <v>135</v>
      </c>
      <c r="C59" s="1">
        <v>1</v>
      </c>
      <c r="D59" s="1">
        <v>0</v>
      </c>
      <c r="E59" s="1">
        <v>2019</v>
      </c>
      <c r="F59" s="1">
        <v>2020</v>
      </c>
      <c r="G59" s="13" t="s">
        <v>174</v>
      </c>
      <c r="H59" s="14">
        <v>1673</v>
      </c>
      <c r="I59" s="14">
        <v>200</v>
      </c>
      <c r="J59" s="14">
        <v>299</v>
      </c>
      <c r="K59" s="14">
        <v>0</v>
      </c>
      <c r="L59" s="15">
        <f t="shared" si="0"/>
        <v>499</v>
      </c>
      <c r="M59" s="16">
        <f t="shared" si="1"/>
        <v>0.29826658696951586</v>
      </c>
      <c r="N59" s="17">
        <v>672</v>
      </c>
      <c r="O59" s="18">
        <f t="shared" si="2"/>
        <v>0.40167364016736401</v>
      </c>
      <c r="P59" s="21" t="s">
        <v>237</v>
      </c>
      <c r="Q59" s="20">
        <f t="shared" si="3"/>
        <v>0</v>
      </c>
    </row>
    <row r="60" spans="1:17" ht="15.5" x14ac:dyDescent="0.35">
      <c r="A60" s="1" t="s">
        <v>53</v>
      </c>
      <c r="B60" s="3" t="s">
        <v>194</v>
      </c>
      <c r="C60" s="1">
        <v>1</v>
      </c>
      <c r="D60" s="1">
        <v>0</v>
      </c>
      <c r="E60" s="1">
        <v>2019</v>
      </c>
      <c r="F60" s="1">
        <v>2020</v>
      </c>
      <c r="G60" s="13" t="s">
        <v>47</v>
      </c>
      <c r="H60" s="14">
        <v>1034</v>
      </c>
      <c r="I60" s="14">
        <v>142</v>
      </c>
      <c r="J60" s="14">
        <v>136</v>
      </c>
      <c r="K60" s="14">
        <v>0</v>
      </c>
      <c r="L60" s="15">
        <f t="shared" si="0"/>
        <v>278</v>
      </c>
      <c r="M60" s="16">
        <f t="shared" si="1"/>
        <v>0.2688588007736944</v>
      </c>
      <c r="N60" s="17">
        <v>342</v>
      </c>
      <c r="O60" s="18">
        <f t="shared" si="2"/>
        <v>0.33075435203094777</v>
      </c>
      <c r="P60" s="21" t="s">
        <v>237</v>
      </c>
      <c r="Q60" s="20">
        <f t="shared" si="3"/>
        <v>0</v>
      </c>
    </row>
    <row r="61" spans="1:17" ht="15.5" x14ac:dyDescent="0.35">
      <c r="A61" s="1" t="s">
        <v>53</v>
      </c>
      <c r="B61" s="3" t="s">
        <v>25</v>
      </c>
      <c r="C61" s="1">
        <v>1</v>
      </c>
      <c r="D61" s="1">
        <v>0</v>
      </c>
      <c r="E61" s="1">
        <v>2019</v>
      </c>
      <c r="F61" s="1">
        <v>2020</v>
      </c>
      <c r="G61" s="13" t="s">
        <v>7</v>
      </c>
      <c r="H61" s="14">
        <v>4203</v>
      </c>
      <c r="I61" s="14">
        <v>0</v>
      </c>
      <c r="J61" s="14">
        <v>0</v>
      </c>
      <c r="K61" s="14">
        <f>215+208+363+262</f>
        <v>1048</v>
      </c>
      <c r="L61" s="15">
        <f t="shared" si="0"/>
        <v>1048</v>
      </c>
      <c r="M61" s="16">
        <f t="shared" si="1"/>
        <v>0.24934570544848916</v>
      </c>
      <c r="N61" s="17">
        <v>2128</v>
      </c>
      <c r="O61" s="18">
        <f t="shared" si="2"/>
        <v>0.50630502022364976</v>
      </c>
      <c r="P61" s="21" t="s">
        <v>237</v>
      </c>
      <c r="Q61" s="20">
        <f t="shared" si="3"/>
        <v>0</v>
      </c>
    </row>
    <row r="62" spans="1:17" ht="15.5" x14ac:dyDescent="0.35">
      <c r="A62" s="1" t="s">
        <v>53</v>
      </c>
      <c r="B62" s="3" t="s">
        <v>94</v>
      </c>
      <c r="C62" s="1">
        <v>1</v>
      </c>
      <c r="D62" s="1">
        <v>0</v>
      </c>
      <c r="E62" s="1">
        <v>2019</v>
      </c>
      <c r="F62" s="1">
        <v>2020</v>
      </c>
      <c r="G62" s="13" t="s">
        <v>195</v>
      </c>
      <c r="H62" s="14">
        <v>1229</v>
      </c>
      <c r="I62" s="14">
        <v>337</v>
      </c>
      <c r="J62" s="14">
        <v>157</v>
      </c>
      <c r="K62" s="14">
        <v>0</v>
      </c>
      <c r="L62" s="15">
        <f t="shared" si="0"/>
        <v>494</v>
      </c>
      <c r="M62" s="16">
        <f t="shared" si="1"/>
        <v>0.40195280716029291</v>
      </c>
      <c r="N62" s="17">
        <v>611</v>
      </c>
      <c r="O62" s="18">
        <f t="shared" si="2"/>
        <v>0.49715215622457282</v>
      </c>
      <c r="P62" s="21" t="s">
        <v>237</v>
      </c>
      <c r="Q62" s="20">
        <f t="shared" si="3"/>
        <v>0</v>
      </c>
    </row>
    <row r="63" spans="1:17" ht="15.5" x14ac:dyDescent="0.35">
      <c r="A63" s="1" t="s">
        <v>53</v>
      </c>
      <c r="B63" s="3" t="s">
        <v>196</v>
      </c>
      <c r="C63" s="1">
        <v>1</v>
      </c>
      <c r="D63" s="1">
        <v>0</v>
      </c>
      <c r="E63" s="1">
        <v>2019</v>
      </c>
      <c r="F63" s="1">
        <v>2020</v>
      </c>
      <c r="G63" s="13" t="s">
        <v>95</v>
      </c>
      <c r="H63" s="14">
        <v>10146</v>
      </c>
      <c r="I63" s="14">
        <v>1710</v>
      </c>
      <c r="J63" s="14">
        <v>1008</v>
      </c>
      <c r="K63" s="14">
        <v>0</v>
      </c>
      <c r="L63" s="15">
        <f t="shared" si="0"/>
        <v>2718</v>
      </c>
      <c r="M63" s="16">
        <f t="shared" si="1"/>
        <v>0.26788882318154938</v>
      </c>
      <c r="N63" s="17">
        <v>3335</v>
      </c>
      <c r="O63" s="18">
        <f t="shared" si="2"/>
        <v>0.32870096589789077</v>
      </c>
      <c r="P63" s="21" t="s">
        <v>237</v>
      </c>
      <c r="Q63" s="20">
        <f t="shared" si="3"/>
        <v>0</v>
      </c>
    </row>
    <row r="64" spans="1:17" ht="15.5" x14ac:dyDescent="0.35">
      <c r="A64" s="1" t="s">
        <v>53</v>
      </c>
      <c r="B64" s="3" t="s">
        <v>77</v>
      </c>
      <c r="C64" s="1">
        <v>1</v>
      </c>
      <c r="D64" s="1">
        <v>0</v>
      </c>
      <c r="E64" s="1">
        <v>2019</v>
      </c>
      <c r="F64" s="1">
        <v>2020</v>
      </c>
      <c r="G64" s="13" t="s">
        <v>39</v>
      </c>
      <c r="H64" s="14">
        <v>1716</v>
      </c>
      <c r="I64" s="14">
        <v>631</v>
      </c>
      <c r="J64" s="14">
        <v>20</v>
      </c>
      <c r="K64" s="14">
        <v>0</v>
      </c>
      <c r="L64" s="15">
        <f t="shared" si="0"/>
        <v>651</v>
      </c>
      <c r="M64" s="16">
        <f t="shared" si="1"/>
        <v>0.37937062937062938</v>
      </c>
      <c r="N64" s="17">
        <v>696</v>
      </c>
      <c r="O64" s="18">
        <f t="shared" si="2"/>
        <v>0.40559440559440557</v>
      </c>
      <c r="P64" s="21" t="s">
        <v>237</v>
      </c>
      <c r="Q64" s="20">
        <f t="shared" si="3"/>
        <v>0</v>
      </c>
    </row>
    <row r="65" spans="1:17" ht="15.5" x14ac:dyDescent="0.35">
      <c r="A65" s="1" t="s">
        <v>53</v>
      </c>
      <c r="B65" s="3" t="s">
        <v>136</v>
      </c>
      <c r="C65" s="1">
        <v>1</v>
      </c>
      <c r="D65" s="1">
        <v>0</v>
      </c>
      <c r="E65" s="1">
        <v>2019</v>
      </c>
      <c r="F65" s="1">
        <v>2020</v>
      </c>
      <c r="G65" s="13" t="s">
        <v>60</v>
      </c>
      <c r="H65" s="14">
        <v>3358</v>
      </c>
      <c r="I65" s="14">
        <v>278</v>
      </c>
      <c r="J65" s="14">
        <v>274</v>
      </c>
      <c r="K65" s="14">
        <v>0</v>
      </c>
      <c r="L65" s="15">
        <f t="shared" si="0"/>
        <v>552</v>
      </c>
      <c r="M65" s="16">
        <f t="shared" si="1"/>
        <v>0.16438356164383561</v>
      </c>
      <c r="N65" s="17">
        <v>614</v>
      </c>
      <c r="O65" s="18">
        <f t="shared" si="2"/>
        <v>0.18284693269803454</v>
      </c>
      <c r="P65" s="21" t="s">
        <v>237</v>
      </c>
      <c r="Q65" s="20">
        <f t="shared" si="3"/>
        <v>0</v>
      </c>
    </row>
    <row r="66" spans="1:17" ht="15.5" x14ac:dyDescent="0.35">
      <c r="A66" s="1" t="s">
        <v>53</v>
      </c>
      <c r="B66" s="3" t="s">
        <v>26</v>
      </c>
      <c r="C66" s="1">
        <v>1</v>
      </c>
      <c r="D66" s="1">
        <v>0</v>
      </c>
      <c r="E66" s="1">
        <v>2019</v>
      </c>
      <c r="F66" s="1">
        <v>2020</v>
      </c>
      <c r="G66" s="13" t="s">
        <v>257</v>
      </c>
      <c r="H66" s="14">
        <v>1544</v>
      </c>
      <c r="I66" s="14">
        <v>549</v>
      </c>
      <c r="J66" s="14">
        <v>357</v>
      </c>
      <c r="K66" s="14">
        <v>0</v>
      </c>
      <c r="L66" s="15">
        <f t="shared" si="0"/>
        <v>906</v>
      </c>
      <c r="M66" s="16">
        <f t="shared" si="1"/>
        <v>0.58678756476683935</v>
      </c>
      <c r="N66" s="17">
        <v>1014</v>
      </c>
      <c r="O66" s="18">
        <f t="shared" si="2"/>
        <v>0.65673575129533679</v>
      </c>
      <c r="P66" s="21" t="s">
        <v>237</v>
      </c>
      <c r="Q66" s="20">
        <f t="shared" si="3"/>
        <v>0</v>
      </c>
    </row>
    <row r="67" spans="1:17" ht="15.5" x14ac:dyDescent="0.35">
      <c r="A67" s="1" t="s">
        <v>53</v>
      </c>
      <c r="B67" s="3" t="s">
        <v>78</v>
      </c>
      <c r="C67" s="1">
        <v>1</v>
      </c>
      <c r="D67" s="1">
        <v>0</v>
      </c>
      <c r="E67" s="1">
        <v>2019</v>
      </c>
      <c r="F67" s="1">
        <v>2020</v>
      </c>
      <c r="G67" s="13" t="s">
        <v>258</v>
      </c>
      <c r="H67" s="14">
        <v>1294</v>
      </c>
      <c r="I67" s="14">
        <v>0</v>
      </c>
      <c r="J67" s="14">
        <v>0</v>
      </c>
      <c r="K67" s="14">
        <f>151+140+355</f>
        <v>646</v>
      </c>
      <c r="L67" s="15">
        <f t="shared" si="0"/>
        <v>646</v>
      </c>
      <c r="M67" s="16">
        <f t="shared" si="1"/>
        <v>0.4992272024729521</v>
      </c>
      <c r="N67" s="17">
        <v>761</v>
      </c>
      <c r="O67" s="18">
        <f t="shared" si="2"/>
        <v>0.58809891808346215</v>
      </c>
      <c r="P67" s="21" t="s">
        <v>237</v>
      </c>
      <c r="Q67" s="20">
        <f t="shared" si="3"/>
        <v>0</v>
      </c>
    </row>
    <row r="68" spans="1:17" ht="15.5" x14ac:dyDescent="0.35">
      <c r="A68" s="1" t="s">
        <v>53</v>
      </c>
      <c r="B68" s="3" t="s">
        <v>137</v>
      </c>
      <c r="C68" s="1">
        <v>1</v>
      </c>
      <c r="D68" s="1">
        <v>0</v>
      </c>
      <c r="E68" s="1">
        <v>2019</v>
      </c>
      <c r="F68" s="1">
        <v>2020</v>
      </c>
      <c r="G68" s="13" t="s">
        <v>259</v>
      </c>
      <c r="H68" s="14">
        <v>1996</v>
      </c>
      <c r="I68" s="14">
        <v>0</v>
      </c>
      <c r="J68" s="14">
        <v>0</v>
      </c>
      <c r="K68" s="14">
        <f>306+153+237+296+174</f>
        <v>1166</v>
      </c>
      <c r="L68" s="15">
        <f t="shared" si="0"/>
        <v>1166</v>
      </c>
      <c r="M68" s="16">
        <f t="shared" si="1"/>
        <v>0.58416833667334667</v>
      </c>
      <c r="N68" s="17">
        <v>1205</v>
      </c>
      <c r="O68" s="18">
        <f t="shared" si="2"/>
        <v>0.60370741482965928</v>
      </c>
      <c r="P68" s="21" t="s">
        <v>237</v>
      </c>
      <c r="Q68" s="20">
        <f t="shared" si="3"/>
        <v>0</v>
      </c>
    </row>
    <row r="69" spans="1:17" ht="15.5" x14ac:dyDescent="0.35">
      <c r="A69" s="1" t="s">
        <v>53</v>
      </c>
      <c r="B69" s="3" t="s">
        <v>214</v>
      </c>
      <c r="C69" s="1">
        <v>1</v>
      </c>
      <c r="D69" s="1">
        <v>0</v>
      </c>
      <c r="E69" s="1">
        <v>2019</v>
      </c>
      <c r="F69" s="1">
        <v>2020</v>
      </c>
      <c r="G69" s="13" t="s">
        <v>175</v>
      </c>
      <c r="H69" s="14">
        <v>5050</v>
      </c>
      <c r="I69" s="14">
        <v>732</v>
      </c>
      <c r="J69" s="14">
        <v>761</v>
      </c>
      <c r="K69" s="14">
        <v>95</v>
      </c>
      <c r="L69" s="15">
        <f t="shared" si="0"/>
        <v>1588</v>
      </c>
      <c r="M69" s="16">
        <f t="shared" si="1"/>
        <v>0.31445544554455446</v>
      </c>
      <c r="N69" s="17">
        <v>1794</v>
      </c>
      <c r="O69" s="18">
        <f t="shared" si="2"/>
        <v>0.35524752475247523</v>
      </c>
      <c r="P69" s="21" t="s">
        <v>237</v>
      </c>
      <c r="Q69" s="20">
        <f t="shared" si="3"/>
        <v>0</v>
      </c>
    </row>
    <row r="70" spans="1:17" ht="15.5" x14ac:dyDescent="0.35">
      <c r="A70" s="1" t="s">
        <v>53</v>
      </c>
      <c r="B70" s="3" t="s">
        <v>40</v>
      </c>
      <c r="C70" s="1">
        <v>1</v>
      </c>
      <c r="D70" s="1">
        <v>0</v>
      </c>
      <c r="E70" s="1">
        <v>2019</v>
      </c>
      <c r="F70" s="1">
        <v>2020</v>
      </c>
      <c r="G70" s="13" t="s">
        <v>138</v>
      </c>
      <c r="H70" s="14">
        <v>3321</v>
      </c>
      <c r="I70" s="14">
        <v>688</v>
      </c>
      <c r="J70" s="14">
        <v>639</v>
      </c>
      <c r="K70" s="14">
        <v>0</v>
      </c>
      <c r="L70" s="15">
        <f t="shared" ref="L70:L133" si="4">SUM(I70+J70+K70)</f>
        <v>1327</v>
      </c>
      <c r="M70" s="16">
        <f t="shared" ref="M70:M133" si="5">L70/H70</f>
        <v>0.39957844022884675</v>
      </c>
      <c r="N70" s="17">
        <v>1540</v>
      </c>
      <c r="O70" s="18">
        <f t="shared" ref="O70:O133" si="6">N70/H70</f>
        <v>0.4637157482685938</v>
      </c>
      <c r="P70" s="21" t="s">
        <v>237</v>
      </c>
      <c r="Q70" s="20">
        <f t="shared" ref="Q70:Q133" si="7">P70/H70</f>
        <v>0</v>
      </c>
    </row>
    <row r="71" spans="1:17" ht="15.5" x14ac:dyDescent="0.35">
      <c r="A71" s="1" t="s">
        <v>53</v>
      </c>
      <c r="B71" s="3" t="s">
        <v>139</v>
      </c>
      <c r="C71" s="1">
        <v>1</v>
      </c>
      <c r="D71" s="1">
        <v>0</v>
      </c>
      <c r="E71" s="1">
        <v>2019</v>
      </c>
      <c r="F71" s="1">
        <v>2020</v>
      </c>
      <c r="G71" s="13" t="s">
        <v>260</v>
      </c>
      <c r="H71" s="14">
        <v>2276</v>
      </c>
      <c r="I71" s="14">
        <v>0</v>
      </c>
      <c r="J71" s="14">
        <v>0</v>
      </c>
      <c r="K71" s="14">
        <f>46+159+88+135+131+335+79</f>
        <v>973</v>
      </c>
      <c r="L71" s="15">
        <f t="shared" si="4"/>
        <v>973</v>
      </c>
      <c r="M71" s="16">
        <f t="shared" si="5"/>
        <v>0.42750439367311072</v>
      </c>
      <c r="N71" s="17">
        <v>1150</v>
      </c>
      <c r="O71" s="18">
        <f t="shared" si="6"/>
        <v>0.50527240773286464</v>
      </c>
      <c r="P71" s="21" t="s">
        <v>237</v>
      </c>
      <c r="Q71" s="20">
        <f t="shared" si="7"/>
        <v>0</v>
      </c>
    </row>
    <row r="72" spans="1:17" ht="15.5" x14ac:dyDescent="0.35">
      <c r="A72" s="1" t="s">
        <v>53</v>
      </c>
      <c r="B72" s="3" t="s">
        <v>197</v>
      </c>
      <c r="C72" s="1">
        <v>1</v>
      </c>
      <c r="D72" s="1">
        <v>0</v>
      </c>
      <c r="E72" s="1">
        <v>2019</v>
      </c>
      <c r="F72" s="1">
        <v>2020</v>
      </c>
      <c r="G72" s="13" t="s">
        <v>198</v>
      </c>
      <c r="H72" s="14">
        <v>8706</v>
      </c>
      <c r="I72" s="14">
        <v>2088</v>
      </c>
      <c r="J72" s="14">
        <v>1361</v>
      </c>
      <c r="K72" s="14">
        <f>107+84+148+297+240+129</f>
        <v>1005</v>
      </c>
      <c r="L72" s="15">
        <f t="shared" si="4"/>
        <v>4454</v>
      </c>
      <c r="M72" s="16">
        <f t="shared" si="5"/>
        <v>0.51160119457845166</v>
      </c>
      <c r="N72" s="17">
        <v>4226</v>
      </c>
      <c r="O72" s="18">
        <f t="shared" si="6"/>
        <v>0.48541235929244198</v>
      </c>
      <c r="P72" s="21" t="s">
        <v>237</v>
      </c>
      <c r="Q72" s="20">
        <f t="shared" si="7"/>
        <v>0</v>
      </c>
    </row>
    <row r="73" spans="1:17" ht="15.5" x14ac:dyDescent="0.35">
      <c r="A73" s="1" t="s">
        <v>53</v>
      </c>
      <c r="B73" s="3" t="s">
        <v>27</v>
      </c>
      <c r="C73" s="1">
        <v>1</v>
      </c>
      <c r="D73" s="1">
        <v>0</v>
      </c>
      <c r="E73" s="1">
        <v>2019</v>
      </c>
      <c r="F73" s="1">
        <v>2020</v>
      </c>
      <c r="G73" s="13" t="s">
        <v>106</v>
      </c>
      <c r="H73" s="14">
        <v>4383</v>
      </c>
      <c r="I73" s="14">
        <v>308</v>
      </c>
      <c r="J73" s="14">
        <v>314</v>
      </c>
      <c r="K73" s="14">
        <v>0</v>
      </c>
      <c r="L73" s="15">
        <f t="shared" si="4"/>
        <v>622</v>
      </c>
      <c r="M73" s="16">
        <f t="shared" si="5"/>
        <v>0.14191193246634726</v>
      </c>
      <c r="N73" s="17">
        <v>856</v>
      </c>
      <c r="O73" s="18">
        <f t="shared" si="6"/>
        <v>0.19530002281542322</v>
      </c>
      <c r="P73" s="21" t="s">
        <v>237</v>
      </c>
      <c r="Q73" s="20">
        <f t="shared" si="7"/>
        <v>0</v>
      </c>
    </row>
    <row r="74" spans="1:17" ht="15.5" x14ac:dyDescent="0.35">
      <c r="A74" s="1" t="s">
        <v>53</v>
      </c>
      <c r="B74" s="3" t="s">
        <v>79</v>
      </c>
      <c r="C74" s="1">
        <v>1</v>
      </c>
      <c r="D74" s="1">
        <v>0</v>
      </c>
      <c r="E74" s="1">
        <v>2019</v>
      </c>
      <c r="F74" s="1">
        <v>2020</v>
      </c>
      <c r="G74" s="13" t="s">
        <v>261</v>
      </c>
      <c r="H74" s="14">
        <v>2056</v>
      </c>
      <c r="I74" s="14">
        <v>170</v>
      </c>
      <c r="J74" s="14">
        <v>107</v>
      </c>
      <c r="K74" s="14">
        <f>519+346</f>
        <v>865</v>
      </c>
      <c r="L74" s="15">
        <f t="shared" si="4"/>
        <v>1142</v>
      </c>
      <c r="M74" s="16">
        <f t="shared" si="5"/>
        <v>0.55544747081712065</v>
      </c>
      <c r="N74" s="17">
        <v>1334</v>
      </c>
      <c r="O74" s="18">
        <f t="shared" si="6"/>
        <v>0.64883268482490275</v>
      </c>
      <c r="P74" s="21" t="s">
        <v>237</v>
      </c>
      <c r="Q74" s="20">
        <f t="shared" si="7"/>
        <v>0</v>
      </c>
    </row>
    <row r="75" spans="1:17" ht="15.5" x14ac:dyDescent="0.35">
      <c r="A75" s="1" t="s">
        <v>53</v>
      </c>
      <c r="B75" s="3" t="s">
        <v>140</v>
      </c>
      <c r="C75" s="1">
        <v>1</v>
      </c>
      <c r="D75" s="1">
        <v>0</v>
      </c>
      <c r="E75" s="1">
        <v>2019</v>
      </c>
      <c r="F75" s="1">
        <v>2020</v>
      </c>
      <c r="G75" s="13" t="s">
        <v>161</v>
      </c>
      <c r="H75" s="14">
        <v>6341</v>
      </c>
      <c r="I75" s="14">
        <v>969</v>
      </c>
      <c r="J75" s="14">
        <v>486</v>
      </c>
      <c r="K75" s="14">
        <v>0</v>
      </c>
      <c r="L75" s="15">
        <f t="shared" si="4"/>
        <v>1455</v>
      </c>
      <c r="M75" s="16">
        <f t="shared" si="5"/>
        <v>0.22945907585554329</v>
      </c>
      <c r="N75" s="17">
        <v>2410</v>
      </c>
      <c r="O75" s="18">
        <f t="shared" si="6"/>
        <v>0.38006623560952529</v>
      </c>
      <c r="P75" s="21" t="s">
        <v>237</v>
      </c>
      <c r="Q75" s="20">
        <f t="shared" si="7"/>
        <v>0</v>
      </c>
    </row>
    <row r="76" spans="1:17" ht="15.5" x14ac:dyDescent="0.35">
      <c r="A76" s="1" t="s">
        <v>53</v>
      </c>
      <c r="B76" s="3" t="s">
        <v>199</v>
      </c>
      <c r="C76" s="1">
        <v>1</v>
      </c>
      <c r="D76" s="1">
        <v>0</v>
      </c>
      <c r="E76" s="1">
        <v>2019</v>
      </c>
      <c r="F76" s="1">
        <v>2020</v>
      </c>
      <c r="G76" s="13" t="s">
        <v>151</v>
      </c>
      <c r="H76" s="14">
        <v>91724</v>
      </c>
      <c r="I76" s="14">
        <v>8549</v>
      </c>
      <c r="J76" s="14">
        <v>10772</v>
      </c>
      <c r="K76" s="14">
        <v>0</v>
      </c>
      <c r="L76" s="15">
        <f t="shared" si="4"/>
        <v>19321</v>
      </c>
      <c r="M76" s="16">
        <f t="shared" si="5"/>
        <v>0.21064279795909469</v>
      </c>
      <c r="N76" s="17">
        <v>23869</v>
      </c>
      <c r="O76" s="18">
        <f t="shared" si="6"/>
        <v>0.26022633116741528</v>
      </c>
      <c r="P76" s="21" t="s">
        <v>237</v>
      </c>
      <c r="Q76" s="20">
        <f t="shared" si="7"/>
        <v>0</v>
      </c>
    </row>
    <row r="77" spans="1:17" ht="15.5" x14ac:dyDescent="0.35">
      <c r="A77" s="1" t="s">
        <v>53</v>
      </c>
      <c r="B77" s="3" t="s">
        <v>96</v>
      </c>
      <c r="C77" s="1">
        <v>1</v>
      </c>
      <c r="D77" s="1">
        <v>0</v>
      </c>
      <c r="E77" s="1">
        <v>2019</v>
      </c>
      <c r="F77" s="1">
        <v>2020</v>
      </c>
      <c r="G77" s="13" t="s">
        <v>107</v>
      </c>
      <c r="H77" s="14">
        <v>4112</v>
      </c>
      <c r="I77" s="14">
        <v>332</v>
      </c>
      <c r="J77" s="14">
        <v>243</v>
      </c>
      <c r="K77" s="14">
        <f>253+74+201+156+189+288</f>
        <v>1161</v>
      </c>
      <c r="L77" s="15">
        <f t="shared" si="4"/>
        <v>1736</v>
      </c>
      <c r="M77" s="16">
        <f t="shared" si="5"/>
        <v>0.42217898832684825</v>
      </c>
      <c r="N77" s="17">
        <v>2037</v>
      </c>
      <c r="O77" s="18">
        <f t="shared" si="6"/>
        <v>0.49537937743190663</v>
      </c>
      <c r="P77" s="21" t="s">
        <v>237</v>
      </c>
      <c r="Q77" s="20">
        <f t="shared" si="7"/>
        <v>0</v>
      </c>
    </row>
    <row r="78" spans="1:17" ht="15.5" x14ac:dyDescent="0.35">
      <c r="A78" s="1" t="s">
        <v>53</v>
      </c>
      <c r="B78" s="3" t="s">
        <v>152</v>
      </c>
      <c r="C78" s="1">
        <v>1</v>
      </c>
      <c r="D78" s="1">
        <v>0</v>
      </c>
      <c r="E78" s="1">
        <v>2019</v>
      </c>
      <c r="F78" s="1">
        <v>2020</v>
      </c>
      <c r="G78" s="13" t="s">
        <v>108</v>
      </c>
      <c r="H78" s="14">
        <v>797</v>
      </c>
      <c r="I78" s="14">
        <v>93</v>
      </c>
      <c r="J78" s="14">
        <v>96</v>
      </c>
      <c r="K78" s="14">
        <v>0</v>
      </c>
      <c r="L78" s="15">
        <f t="shared" si="4"/>
        <v>189</v>
      </c>
      <c r="M78" s="16">
        <f t="shared" si="5"/>
        <v>0.2371392722710163</v>
      </c>
      <c r="N78" s="17">
        <v>296</v>
      </c>
      <c r="O78" s="18">
        <f t="shared" si="6"/>
        <v>0.3713927227101631</v>
      </c>
      <c r="P78" s="21" t="s">
        <v>237</v>
      </c>
      <c r="Q78" s="20">
        <f t="shared" si="7"/>
        <v>0</v>
      </c>
    </row>
    <row r="79" spans="1:17" ht="15.5" x14ac:dyDescent="0.35">
      <c r="A79" s="1" t="s">
        <v>53</v>
      </c>
      <c r="B79" s="3" t="s">
        <v>215</v>
      </c>
      <c r="C79" s="1">
        <v>1</v>
      </c>
      <c r="D79" s="1">
        <v>0</v>
      </c>
      <c r="E79" s="1">
        <v>2019</v>
      </c>
      <c r="F79" s="1">
        <v>2020</v>
      </c>
      <c r="G79" s="13" t="s">
        <v>262</v>
      </c>
      <c r="H79" s="14">
        <v>1308</v>
      </c>
      <c r="I79" s="14">
        <v>0</v>
      </c>
      <c r="J79" s="14">
        <v>0</v>
      </c>
      <c r="K79" s="14">
        <f>424+192</f>
        <v>616</v>
      </c>
      <c r="L79" s="15">
        <f t="shared" si="4"/>
        <v>616</v>
      </c>
      <c r="M79" s="16">
        <f t="shared" si="5"/>
        <v>0.47094801223241589</v>
      </c>
      <c r="N79" s="17">
        <v>639</v>
      </c>
      <c r="O79" s="18">
        <f t="shared" si="6"/>
        <v>0.48853211009174313</v>
      </c>
      <c r="P79" s="21" t="s">
        <v>237</v>
      </c>
      <c r="Q79" s="20">
        <f t="shared" si="7"/>
        <v>0</v>
      </c>
    </row>
    <row r="80" spans="1:17" ht="15.5" x14ac:dyDescent="0.35">
      <c r="A80" s="1" t="s">
        <v>53</v>
      </c>
      <c r="B80" s="3" t="s">
        <v>80</v>
      </c>
      <c r="C80" s="1">
        <v>1</v>
      </c>
      <c r="D80" s="1">
        <v>0</v>
      </c>
      <c r="E80" s="1">
        <v>2019</v>
      </c>
      <c r="F80" s="1">
        <v>2020</v>
      </c>
      <c r="G80" s="13" t="s">
        <v>28</v>
      </c>
      <c r="H80" s="14">
        <v>13598</v>
      </c>
      <c r="I80" s="14">
        <v>1189</v>
      </c>
      <c r="J80" s="14">
        <v>1328</v>
      </c>
      <c r="K80" s="14">
        <v>0</v>
      </c>
      <c r="L80" s="15">
        <f t="shared" si="4"/>
        <v>2517</v>
      </c>
      <c r="M80" s="16">
        <f t="shared" si="5"/>
        <v>0.18510075011031035</v>
      </c>
      <c r="N80" s="17">
        <v>3690</v>
      </c>
      <c r="O80" s="18">
        <f t="shared" si="6"/>
        <v>0.27136343579938227</v>
      </c>
      <c r="P80" s="21" t="s">
        <v>237</v>
      </c>
      <c r="Q80" s="20">
        <f t="shared" si="7"/>
        <v>0</v>
      </c>
    </row>
    <row r="81" spans="1:17" ht="15.5" x14ac:dyDescent="0.35">
      <c r="A81" s="1" t="s">
        <v>53</v>
      </c>
      <c r="B81" s="3" t="s">
        <v>141</v>
      </c>
      <c r="C81" s="1">
        <v>1</v>
      </c>
      <c r="D81" s="1">
        <v>0</v>
      </c>
      <c r="E81" s="1">
        <v>2019</v>
      </c>
      <c r="F81" s="1">
        <v>2020</v>
      </c>
      <c r="G81" s="13" t="s">
        <v>200</v>
      </c>
      <c r="H81" s="14">
        <v>2743</v>
      </c>
      <c r="I81" s="14">
        <v>523</v>
      </c>
      <c r="J81" s="14">
        <v>361</v>
      </c>
      <c r="K81" s="14">
        <v>0</v>
      </c>
      <c r="L81" s="15">
        <f t="shared" si="4"/>
        <v>884</v>
      </c>
      <c r="M81" s="16">
        <f t="shared" si="5"/>
        <v>0.32227488151658767</v>
      </c>
      <c r="N81" s="17">
        <v>1224</v>
      </c>
      <c r="O81" s="18">
        <f t="shared" si="6"/>
        <v>0.44622675902296755</v>
      </c>
      <c r="P81" s="21" t="s">
        <v>237</v>
      </c>
      <c r="Q81" s="20">
        <f t="shared" si="7"/>
        <v>0</v>
      </c>
    </row>
    <row r="82" spans="1:17" ht="15.5" x14ac:dyDescent="0.35">
      <c r="A82" s="1" t="s">
        <v>53</v>
      </c>
      <c r="B82" s="3" t="s">
        <v>201</v>
      </c>
      <c r="C82" s="1">
        <v>1</v>
      </c>
      <c r="D82" s="1">
        <v>0</v>
      </c>
      <c r="E82" s="1">
        <v>2019</v>
      </c>
      <c r="F82" s="1">
        <v>2020</v>
      </c>
      <c r="G82" s="13" t="s">
        <v>153</v>
      </c>
      <c r="H82" s="14">
        <v>11840</v>
      </c>
      <c r="I82" s="14">
        <v>1329</v>
      </c>
      <c r="J82" s="14">
        <v>1617</v>
      </c>
      <c r="K82" s="14">
        <v>0</v>
      </c>
      <c r="L82" s="15">
        <f t="shared" si="4"/>
        <v>2946</v>
      </c>
      <c r="M82" s="16">
        <f t="shared" si="5"/>
        <v>0.24881756756756757</v>
      </c>
      <c r="N82" s="17">
        <v>3737</v>
      </c>
      <c r="O82" s="18">
        <f t="shared" si="6"/>
        <v>0.31562499999999999</v>
      </c>
      <c r="P82" s="21" t="s">
        <v>237</v>
      </c>
      <c r="Q82" s="20">
        <f t="shared" si="7"/>
        <v>0</v>
      </c>
    </row>
    <row r="83" spans="1:17" ht="15.5" x14ac:dyDescent="0.35">
      <c r="A83" s="1" t="s">
        <v>53</v>
      </c>
      <c r="B83" s="3" t="s">
        <v>29</v>
      </c>
      <c r="C83" s="1">
        <v>1</v>
      </c>
      <c r="D83" s="1">
        <v>0</v>
      </c>
      <c r="E83" s="1">
        <v>2019</v>
      </c>
      <c r="F83" s="1">
        <v>2020</v>
      </c>
      <c r="G83" s="13" t="s">
        <v>263</v>
      </c>
      <c r="H83" s="14">
        <v>3714</v>
      </c>
      <c r="I83" s="14">
        <v>1230</v>
      </c>
      <c r="J83" s="14">
        <v>548</v>
      </c>
      <c r="K83" s="14">
        <f>266+83</f>
        <v>349</v>
      </c>
      <c r="L83" s="15">
        <f t="shared" si="4"/>
        <v>2127</v>
      </c>
      <c r="M83" s="16">
        <f t="shared" si="5"/>
        <v>0.5726978998384491</v>
      </c>
      <c r="N83" s="17">
        <v>2246</v>
      </c>
      <c r="O83" s="18">
        <f t="shared" si="6"/>
        <v>0.60473882606354334</v>
      </c>
      <c r="P83" s="21" t="s">
        <v>237</v>
      </c>
      <c r="Q83" s="20">
        <f t="shared" si="7"/>
        <v>0</v>
      </c>
    </row>
    <row r="84" spans="1:17" ht="15.5" x14ac:dyDescent="0.35">
      <c r="A84" s="1" t="s">
        <v>53</v>
      </c>
      <c r="B84" s="3" t="s">
        <v>81</v>
      </c>
      <c r="C84" s="1">
        <v>1</v>
      </c>
      <c r="D84" s="1">
        <v>0</v>
      </c>
      <c r="E84" s="1">
        <v>2019</v>
      </c>
      <c r="F84" s="1">
        <v>2020</v>
      </c>
      <c r="G84" s="13" t="s">
        <v>154</v>
      </c>
      <c r="H84" s="14">
        <v>3421</v>
      </c>
      <c r="I84" s="14">
        <v>178</v>
      </c>
      <c r="J84" s="14">
        <v>927</v>
      </c>
      <c r="K84" s="14">
        <f>41+52+268+164+100</f>
        <v>625</v>
      </c>
      <c r="L84" s="15">
        <f t="shared" si="4"/>
        <v>1730</v>
      </c>
      <c r="M84" s="16">
        <f t="shared" si="5"/>
        <v>0.50570008769365682</v>
      </c>
      <c r="N84" s="17">
        <v>1510</v>
      </c>
      <c r="O84" s="18">
        <f t="shared" si="6"/>
        <v>0.44139140602163113</v>
      </c>
      <c r="P84" s="21" t="s">
        <v>237</v>
      </c>
      <c r="Q84" s="20">
        <f t="shared" si="7"/>
        <v>0</v>
      </c>
    </row>
    <row r="85" spans="1:17" ht="15.5" x14ac:dyDescent="0.35">
      <c r="A85" s="1" t="s">
        <v>53</v>
      </c>
      <c r="B85" s="3" t="s">
        <v>155</v>
      </c>
      <c r="C85" s="1">
        <v>1</v>
      </c>
      <c r="D85" s="1">
        <v>0</v>
      </c>
      <c r="E85" s="1">
        <v>2019</v>
      </c>
      <c r="F85" s="1">
        <v>2020</v>
      </c>
      <c r="G85" s="13" t="s">
        <v>162</v>
      </c>
      <c r="H85" s="14">
        <v>6053</v>
      </c>
      <c r="I85" s="14">
        <v>1380</v>
      </c>
      <c r="J85" s="14">
        <v>800</v>
      </c>
      <c r="K85" s="14">
        <v>0</v>
      </c>
      <c r="L85" s="15">
        <f t="shared" si="4"/>
        <v>2180</v>
      </c>
      <c r="M85" s="16">
        <f t="shared" si="5"/>
        <v>0.36015199074838922</v>
      </c>
      <c r="N85" s="17">
        <v>2614</v>
      </c>
      <c r="O85" s="18">
        <f t="shared" si="6"/>
        <v>0.4318519742276557</v>
      </c>
      <c r="P85" s="21" t="s">
        <v>237</v>
      </c>
      <c r="Q85" s="20">
        <f t="shared" si="7"/>
        <v>0</v>
      </c>
    </row>
    <row r="86" spans="1:17" ht="15.5" x14ac:dyDescent="0.35">
      <c r="A86" s="1" t="s">
        <v>53</v>
      </c>
      <c r="B86" s="3" t="s">
        <v>216</v>
      </c>
      <c r="C86" s="1">
        <v>1</v>
      </c>
      <c r="D86" s="1">
        <v>0</v>
      </c>
      <c r="E86" s="1">
        <v>2019</v>
      </c>
      <c r="F86" s="1">
        <v>2020</v>
      </c>
      <c r="G86" s="13" t="s">
        <v>264</v>
      </c>
      <c r="H86" s="14">
        <v>4310</v>
      </c>
      <c r="I86" s="14">
        <v>0</v>
      </c>
      <c r="J86" s="14">
        <v>0</v>
      </c>
      <c r="K86" s="14">
        <f>102+112+114+156+262+229+278+181+51+272+132+134+66</f>
        <v>2089</v>
      </c>
      <c r="L86" s="15">
        <f t="shared" si="4"/>
        <v>2089</v>
      </c>
      <c r="M86" s="16">
        <f t="shared" si="5"/>
        <v>0.48468677494199536</v>
      </c>
      <c r="N86" s="17">
        <v>2332</v>
      </c>
      <c r="O86" s="18">
        <f t="shared" si="6"/>
        <v>0.54106728538283066</v>
      </c>
      <c r="P86" s="21" t="s">
        <v>237</v>
      </c>
      <c r="Q86" s="20">
        <f t="shared" si="7"/>
        <v>0</v>
      </c>
    </row>
    <row r="87" spans="1:17" ht="15.5" x14ac:dyDescent="0.35">
      <c r="A87" s="1" t="s">
        <v>53</v>
      </c>
      <c r="B87" s="3" t="s">
        <v>41</v>
      </c>
      <c r="C87" s="1">
        <v>1</v>
      </c>
      <c r="D87" s="1">
        <v>0</v>
      </c>
      <c r="E87" s="1">
        <v>2019</v>
      </c>
      <c r="F87" s="1">
        <v>2020</v>
      </c>
      <c r="G87" s="13" t="s">
        <v>8</v>
      </c>
      <c r="H87" s="14">
        <v>2783</v>
      </c>
      <c r="I87" s="14">
        <v>715</v>
      </c>
      <c r="J87" s="14">
        <v>74</v>
      </c>
      <c r="K87" s="14">
        <v>0</v>
      </c>
      <c r="L87" s="15">
        <f t="shared" si="4"/>
        <v>789</v>
      </c>
      <c r="M87" s="16">
        <f t="shared" si="5"/>
        <v>0.28350700682716495</v>
      </c>
      <c r="N87" s="22" t="s">
        <v>237</v>
      </c>
      <c r="O87" s="18">
        <f t="shared" si="6"/>
        <v>0</v>
      </c>
      <c r="P87" s="21" t="s">
        <v>237</v>
      </c>
      <c r="Q87" s="20">
        <f t="shared" si="7"/>
        <v>0</v>
      </c>
    </row>
    <row r="88" spans="1:17" ht="15.5" x14ac:dyDescent="0.35">
      <c r="A88" s="1" t="s">
        <v>53</v>
      </c>
      <c r="B88" s="3" t="s">
        <v>97</v>
      </c>
      <c r="C88" s="1">
        <v>1</v>
      </c>
      <c r="D88" s="1">
        <v>0</v>
      </c>
      <c r="E88" s="1">
        <v>2019</v>
      </c>
      <c r="F88" s="1">
        <v>2020</v>
      </c>
      <c r="G88" s="13" t="s">
        <v>42</v>
      </c>
      <c r="H88" s="14">
        <v>23908</v>
      </c>
      <c r="I88" s="14">
        <v>3411</v>
      </c>
      <c r="J88" s="14">
        <v>2891</v>
      </c>
      <c r="K88" s="14">
        <v>0</v>
      </c>
      <c r="L88" s="15">
        <f t="shared" si="4"/>
        <v>6302</v>
      </c>
      <c r="M88" s="16">
        <f t="shared" si="5"/>
        <v>0.26359377614187718</v>
      </c>
      <c r="N88" s="17">
        <v>6564</v>
      </c>
      <c r="O88" s="18">
        <f t="shared" si="6"/>
        <v>0.27455245106240589</v>
      </c>
      <c r="P88" s="21" t="s">
        <v>237</v>
      </c>
      <c r="Q88" s="20">
        <f t="shared" si="7"/>
        <v>0</v>
      </c>
    </row>
    <row r="89" spans="1:17" ht="15.5" x14ac:dyDescent="0.35">
      <c r="A89" s="1" t="s">
        <v>53</v>
      </c>
      <c r="B89" s="3" t="s">
        <v>156</v>
      </c>
      <c r="C89" s="1">
        <v>1</v>
      </c>
      <c r="D89" s="1">
        <v>0</v>
      </c>
      <c r="E89" s="1">
        <v>2019</v>
      </c>
      <c r="F89" s="1">
        <v>2020</v>
      </c>
      <c r="G89" s="13" t="s">
        <v>217</v>
      </c>
      <c r="H89" s="14">
        <v>30184</v>
      </c>
      <c r="I89" s="14">
        <v>3044</v>
      </c>
      <c r="J89" s="14">
        <v>3144</v>
      </c>
      <c r="K89" s="14">
        <v>0</v>
      </c>
      <c r="L89" s="15">
        <f t="shared" si="4"/>
        <v>6188</v>
      </c>
      <c r="M89" s="16">
        <f t="shared" si="5"/>
        <v>0.20500927643784786</v>
      </c>
      <c r="N89" s="17">
        <v>8461</v>
      </c>
      <c r="O89" s="18">
        <f t="shared" si="6"/>
        <v>0.28031407368142064</v>
      </c>
      <c r="P89" s="23">
        <v>9049</v>
      </c>
      <c r="Q89" s="20">
        <f t="shared" si="7"/>
        <v>0.29979459316194013</v>
      </c>
    </row>
    <row r="90" spans="1:17" ht="15.5" x14ac:dyDescent="0.35">
      <c r="A90" s="1" t="s">
        <v>53</v>
      </c>
      <c r="B90" s="3" t="s">
        <v>30</v>
      </c>
      <c r="C90" s="1">
        <v>1</v>
      </c>
      <c r="D90" s="1">
        <v>0</v>
      </c>
      <c r="E90" s="1">
        <v>2019</v>
      </c>
      <c r="F90" s="1">
        <v>2020</v>
      </c>
      <c r="G90" s="13" t="s">
        <v>43</v>
      </c>
      <c r="H90" s="14">
        <v>733</v>
      </c>
      <c r="I90" s="14">
        <v>279</v>
      </c>
      <c r="J90" s="14">
        <v>76</v>
      </c>
      <c r="K90" s="14">
        <v>0</v>
      </c>
      <c r="L90" s="15">
        <f t="shared" si="4"/>
        <v>355</v>
      </c>
      <c r="M90" s="16">
        <f t="shared" si="5"/>
        <v>0.48431105047748979</v>
      </c>
      <c r="N90" s="17">
        <v>377</v>
      </c>
      <c r="O90" s="18">
        <f t="shared" si="6"/>
        <v>0.514324693042292</v>
      </c>
      <c r="P90" s="21" t="s">
        <v>237</v>
      </c>
      <c r="Q90" s="20">
        <f t="shared" si="7"/>
        <v>0</v>
      </c>
    </row>
    <row r="91" spans="1:17" ht="15.5" x14ac:dyDescent="0.35">
      <c r="A91" s="1" t="s">
        <v>53</v>
      </c>
      <c r="B91" s="3" t="s">
        <v>82</v>
      </c>
      <c r="C91" s="1">
        <v>1</v>
      </c>
      <c r="D91" s="1">
        <v>0</v>
      </c>
      <c r="E91" s="1">
        <v>2019</v>
      </c>
      <c r="F91" s="1">
        <v>2020</v>
      </c>
      <c r="G91" s="13" t="s">
        <v>265</v>
      </c>
      <c r="H91" s="14">
        <v>1103</v>
      </c>
      <c r="I91" s="14">
        <v>0</v>
      </c>
      <c r="J91" s="14">
        <v>0</v>
      </c>
      <c r="K91" s="14">
        <f>147+123+324</f>
        <v>594</v>
      </c>
      <c r="L91" s="15">
        <f t="shared" si="4"/>
        <v>594</v>
      </c>
      <c r="M91" s="16">
        <f t="shared" si="5"/>
        <v>0.53853127833182235</v>
      </c>
      <c r="N91" s="17">
        <v>659</v>
      </c>
      <c r="O91" s="18">
        <f t="shared" si="6"/>
        <v>0.59746146872166817</v>
      </c>
      <c r="P91" s="21" t="s">
        <v>237</v>
      </c>
      <c r="Q91" s="20">
        <f t="shared" si="7"/>
        <v>0</v>
      </c>
    </row>
    <row r="92" spans="1:17" ht="15.5" x14ac:dyDescent="0.35">
      <c r="A92" s="1" t="s">
        <v>53</v>
      </c>
      <c r="B92" s="3" t="s">
        <v>142</v>
      </c>
      <c r="C92" s="1">
        <v>1</v>
      </c>
      <c r="D92" s="1">
        <v>0</v>
      </c>
      <c r="E92" s="1">
        <v>2019</v>
      </c>
      <c r="F92" s="1">
        <v>2020</v>
      </c>
      <c r="G92" s="13" t="s">
        <v>157</v>
      </c>
      <c r="H92" s="14">
        <v>5584</v>
      </c>
      <c r="I92" s="14">
        <v>920</v>
      </c>
      <c r="J92" s="14">
        <v>453</v>
      </c>
      <c r="K92" s="14">
        <f>100+207+186+358+270</f>
        <v>1121</v>
      </c>
      <c r="L92" s="15">
        <f t="shared" si="4"/>
        <v>2494</v>
      </c>
      <c r="M92" s="16">
        <f t="shared" si="5"/>
        <v>0.44663323782234959</v>
      </c>
      <c r="N92" s="17">
        <v>2840</v>
      </c>
      <c r="O92" s="18">
        <f t="shared" si="6"/>
        <v>0.50859598853868193</v>
      </c>
      <c r="P92" s="21" t="s">
        <v>237</v>
      </c>
      <c r="Q92" s="20">
        <f t="shared" si="7"/>
        <v>0</v>
      </c>
    </row>
    <row r="93" spans="1:17" ht="15.5" x14ac:dyDescent="0.35">
      <c r="A93" s="1" t="s">
        <v>53</v>
      </c>
      <c r="B93" s="3" t="s">
        <v>218</v>
      </c>
      <c r="C93" s="1">
        <v>1</v>
      </c>
      <c r="D93" s="1">
        <v>0</v>
      </c>
      <c r="E93" s="1">
        <v>2019</v>
      </c>
      <c r="F93" s="1">
        <v>2020</v>
      </c>
      <c r="G93" s="13" t="s">
        <v>163</v>
      </c>
      <c r="H93" s="14">
        <v>5366</v>
      </c>
      <c r="I93" s="14">
        <v>923</v>
      </c>
      <c r="J93" s="14">
        <v>631</v>
      </c>
      <c r="K93" s="14">
        <v>306</v>
      </c>
      <c r="L93" s="15">
        <f t="shared" si="4"/>
        <v>1860</v>
      </c>
      <c r="M93" s="16">
        <f t="shared" si="5"/>
        <v>0.34662691017517705</v>
      </c>
      <c r="N93" s="17">
        <v>2092</v>
      </c>
      <c r="O93" s="18">
        <f t="shared" si="6"/>
        <v>0.38986209467014538</v>
      </c>
      <c r="P93" s="21" t="s">
        <v>237</v>
      </c>
      <c r="Q93" s="20">
        <f t="shared" si="7"/>
        <v>0</v>
      </c>
    </row>
    <row r="94" spans="1:17" ht="15.5" x14ac:dyDescent="0.35">
      <c r="A94" s="1" t="s">
        <v>53</v>
      </c>
      <c r="B94" s="3" t="s">
        <v>44</v>
      </c>
      <c r="C94" s="1">
        <v>1</v>
      </c>
      <c r="D94" s="1">
        <v>0</v>
      </c>
      <c r="E94" s="1">
        <v>2019</v>
      </c>
      <c r="F94" s="1">
        <v>2020</v>
      </c>
      <c r="G94" s="13" t="s">
        <v>98</v>
      </c>
      <c r="H94" s="14">
        <v>7080</v>
      </c>
      <c r="I94" s="14">
        <v>1058</v>
      </c>
      <c r="J94" s="14">
        <v>1003</v>
      </c>
      <c r="K94" s="14">
        <f>152+151+140+299+206</f>
        <v>948</v>
      </c>
      <c r="L94" s="15">
        <f t="shared" si="4"/>
        <v>3009</v>
      </c>
      <c r="M94" s="16">
        <f t="shared" si="5"/>
        <v>0.42499999999999999</v>
      </c>
      <c r="N94" s="17">
        <v>3106</v>
      </c>
      <c r="O94" s="18">
        <f t="shared" si="6"/>
        <v>0.43870056497175142</v>
      </c>
      <c r="P94" s="21" t="s">
        <v>237</v>
      </c>
      <c r="Q94" s="20">
        <f t="shared" si="7"/>
        <v>0</v>
      </c>
    </row>
    <row r="95" spans="1:17" ht="15.5" x14ac:dyDescent="0.35">
      <c r="A95" s="1" t="s">
        <v>53</v>
      </c>
      <c r="B95" s="3" t="s">
        <v>99</v>
      </c>
      <c r="C95" s="1">
        <v>1</v>
      </c>
      <c r="D95" s="1">
        <v>0</v>
      </c>
      <c r="E95" s="1">
        <v>2019</v>
      </c>
      <c r="F95" s="1">
        <v>2020</v>
      </c>
      <c r="G95" s="13" t="s">
        <v>266</v>
      </c>
      <c r="H95" s="14">
        <v>1644</v>
      </c>
      <c r="I95" s="14">
        <v>164</v>
      </c>
      <c r="J95" s="14">
        <v>91</v>
      </c>
      <c r="K95" s="14">
        <f>239+151</f>
        <v>390</v>
      </c>
      <c r="L95" s="15">
        <f t="shared" si="4"/>
        <v>645</v>
      </c>
      <c r="M95" s="16">
        <f t="shared" si="5"/>
        <v>0.39233576642335766</v>
      </c>
      <c r="N95" s="17">
        <v>995</v>
      </c>
      <c r="O95" s="18">
        <f t="shared" si="6"/>
        <v>0.60523114355231145</v>
      </c>
      <c r="P95" s="21" t="s">
        <v>237</v>
      </c>
      <c r="Q95" s="20">
        <f t="shared" si="7"/>
        <v>0</v>
      </c>
    </row>
    <row r="96" spans="1:17" ht="15.5" x14ac:dyDescent="0.35">
      <c r="A96" s="1" t="s">
        <v>53</v>
      </c>
      <c r="B96" s="3" t="s">
        <v>158</v>
      </c>
      <c r="C96" s="1">
        <v>1</v>
      </c>
      <c r="D96" s="1">
        <v>0</v>
      </c>
      <c r="E96" s="1">
        <v>2019</v>
      </c>
      <c r="F96" s="1">
        <v>2020</v>
      </c>
      <c r="G96" s="13" t="s">
        <v>267</v>
      </c>
      <c r="H96" s="14">
        <v>5619</v>
      </c>
      <c r="I96" s="14">
        <v>385</v>
      </c>
      <c r="J96" s="14">
        <v>280</v>
      </c>
      <c r="K96" s="14">
        <f>138+301+455+339+326+293+225+207</f>
        <v>2284</v>
      </c>
      <c r="L96" s="15">
        <f t="shared" si="4"/>
        <v>2949</v>
      </c>
      <c r="M96" s="16">
        <f t="shared" si="5"/>
        <v>0.52482648158035239</v>
      </c>
      <c r="N96" s="17">
        <v>3110</v>
      </c>
      <c r="O96" s="18">
        <f t="shared" si="6"/>
        <v>0.55347926677344728</v>
      </c>
      <c r="P96" s="21" t="s">
        <v>237</v>
      </c>
      <c r="Q96" s="20">
        <f t="shared" si="7"/>
        <v>0</v>
      </c>
    </row>
    <row r="97" spans="1:19" ht="15.5" x14ac:dyDescent="0.35">
      <c r="A97" s="1" t="s">
        <v>53</v>
      </c>
      <c r="B97" s="3" t="s">
        <v>219</v>
      </c>
      <c r="C97" s="1">
        <v>1</v>
      </c>
      <c r="D97" s="1">
        <v>0</v>
      </c>
      <c r="E97" s="1">
        <v>2019</v>
      </c>
      <c r="F97" s="1">
        <v>2020</v>
      </c>
      <c r="G97" s="13" t="s">
        <v>159</v>
      </c>
      <c r="H97" s="14">
        <v>4043</v>
      </c>
      <c r="I97" s="14">
        <v>924</v>
      </c>
      <c r="J97" s="14">
        <v>559</v>
      </c>
      <c r="K97" s="14">
        <v>0</v>
      </c>
      <c r="L97" s="15">
        <f t="shared" si="4"/>
        <v>1483</v>
      </c>
      <c r="M97" s="16">
        <f t="shared" si="5"/>
        <v>0.36680682661390057</v>
      </c>
      <c r="N97" s="17">
        <v>2040</v>
      </c>
      <c r="O97" s="18">
        <f t="shared" si="6"/>
        <v>0.50457581004204799</v>
      </c>
      <c r="P97" s="21" t="s">
        <v>237</v>
      </c>
      <c r="Q97" s="20">
        <f t="shared" si="7"/>
        <v>0</v>
      </c>
    </row>
    <row r="98" spans="1:19" ht="15.5" x14ac:dyDescent="0.35">
      <c r="A98" s="1" t="s">
        <v>53</v>
      </c>
      <c r="B98" s="3" t="s">
        <v>45</v>
      </c>
      <c r="C98" s="1">
        <v>1</v>
      </c>
      <c r="D98" s="1">
        <v>0</v>
      </c>
      <c r="E98" s="1">
        <v>2019</v>
      </c>
      <c r="F98" s="1">
        <v>2020</v>
      </c>
      <c r="G98" s="13" t="s">
        <v>202</v>
      </c>
      <c r="H98" s="14">
        <v>13253</v>
      </c>
      <c r="I98" s="14">
        <v>629</v>
      </c>
      <c r="J98" s="14">
        <v>29</v>
      </c>
      <c r="K98" s="14">
        <v>0</v>
      </c>
      <c r="L98" s="15">
        <f t="shared" si="4"/>
        <v>658</v>
      </c>
      <c r="M98" s="16">
        <f t="shared" si="5"/>
        <v>4.9649136044669133E-2</v>
      </c>
      <c r="N98" s="17">
        <v>1828</v>
      </c>
      <c r="O98" s="18">
        <f t="shared" si="6"/>
        <v>0.13793103448275862</v>
      </c>
      <c r="P98" s="21" t="s">
        <v>237</v>
      </c>
      <c r="Q98" s="20">
        <f t="shared" si="7"/>
        <v>0</v>
      </c>
    </row>
    <row r="99" spans="1:19" ht="15.5" x14ac:dyDescent="0.35">
      <c r="A99" s="1" t="s">
        <v>53</v>
      </c>
      <c r="B99" s="3" t="s">
        <v>9</v>
      </c>
      <c r="C99" s="1">
        <v>1</v>
      </c>
      <c r="D99" s="1">
        <v>0</v>
      </c>
      <c r="E99" s="1">
        <v>2019</v>
      </c>
      <c r="F99" s="1">
        <v>2020</v>
      </c>
      <c r="G99" s="13" t="s">
        <v>164</v>
      </c>
      <c r="H99" s="14">
        <v>16124</v>
      </c>
      <c r="I99" s="14">
        <v>2559</v>
      </c>
      <c r="J99" s="14">
        <v>2074</v>
      </c>
      <c r="K99" s="14">
        <f>206+372</f>
        <v>578</v>
      </c>
      <c r="L99" s="15">
        <f t="shared" si="4"/>
        <v>5211</v>
      </c>
      <c r="M99" s="16">
        <f t="shared" si="5"/>
        <v>0.32318283304390971</v>
      </c>
      <c r="N99" s="17">
        <v>5993</v>
      </c>
      <c r="O99" s="18">
        <f t="shared" si="6"/>
        <v>0.37168196477300919</v>
      </c>
      <c r="P99" s="21" t="s">
        <v>237</v>
      </c>
      <c r="Q99" s="20">
        <f t="shared" si="7"/>
        <v>0</v>
      </c>
    </row>
    <row r="100" spans="1:19" ht="15.5" x14ac:dyDescent="0.35">
      <c r="A100" s="1" t="s">
        <v>53</v>
      </c>
      <c r="B100" s="3" t="s">
        <v>61</v>
      </c>
      <c r="C100" s="1">
        <v>1</v>
      </c>
      <c r="D100" s="1">
        <v>0</v>
      </c>
      <c r="E100" s="1">
        <v>2019</v>
      </c>
      <c r="F100" s="1">
        <v>2020</v>
      </c>
      <c r="G100" s="13" t="s">
        <v>268</v>
      </c>
      <c r="H100" s="14">
        <v>2244</v>
      </c>
      <c r="I100" s="14">
        <v>0</v>
      </c>
      <c r="J100" s="14">
        <v>0</v>
      </c>
      <c r="K100" s="14">
        <f>269+124+168+288+136+271</f>
        <v>1256</v>
      </c>
      <c r="L100" s="15">
        <f t="shared" si="4"/>
        <v>1256</v>
      </c>
      <c r="M100" s="16">
        <f t="shared" si="5"/>
        <v>0.55971479500891264</v>
      </c>
      <c r="N100" s="17">
        <v>1461</v>
      </c>
      <c r="O100" s="18">
        <f t="shared" si="6"/>
        <v>0.65106951871657759</v>
      </c>
      <c r="P100" s="21" t="s">
        <v>237</v>
      </c>
      <c r="Q100" s="20">
        <f t="shared" si="7"/>
        <v>0</v>
      </c>
    </row>
    <row r="101" spans="1:19" ht="15.5" x14ac:dyDescent="0.35">
      <c r="A101" s="1" t="s">
        <v>53</v>
      </c>
      <c r="B101" s="3" t="s">
        <v>117</v>
      </c>
      <c r="C101" s="1">
        <v>1</v>
      </c>
      <c r="D101" s="1">
        <v>0</v>
      </c>
      <c r="E101" s="1">
        <v>2019</v>
      </c>
      <c r="F101" s="1">
        <v>2020</v>
      </c>
      <c r="G101" s="13" t="s">
        <v>269</v>
      </c>
      <c r="H101" s="14">
        <v>981</v>
      </c>
      <c r="I101" s="14">
        <v>138</v>
      </c>
      <c r="J101" s="14">
        <v>50</v>
      </c>
      <c r="K101" s="14">
        <f>90+73+110</f>
        <v>273</v>
      </c>
      <c r="L101" s="15">
        <f t="shared" si="4"/>
        <v>461</v>
      </c>
      <c r="M101" s="16">
        <f t="shared" si="5"/>
        <v>0.46992864424057085</v>
      </c>
      <c r="N101" s="22" t="s">
        <v>237</v>
      </c>
      <c r="O101" s="18">
        <f t="shared" si="6"/>
        <v>0</v>
      </c>
      <c r="P101" s="24">
        <v>575</v>
      </c>
      <c r="Q101" s="20">
        <f t="shared" si="7"/>
        <v>0.58613659531090723</v>
      </c>
    </row>
    <row r="102" spans="1:19" ht="15.5" x14ac:dyDescent="0.35">
      <c r="A102" s="1" t="s">
        <v>53</v>
      </c>
      <c r="B102" s="3" t="s">
        <v>176</v>
      </c>
      <c r="C102" s="1">
        <v>1</v>
      </c>
      <c r="D102" s="1">
        <v>0</v>
      </c>
      <c r="E102" s="1">
        <v>2019</v>
      </c>
      <c r="F102" s="1">
        <v>2020</v>
      </c>
      <c r="G102" s="13" t="s">
        <v>48</v>
      </c>
      <c r="H102" s="14">
        <v>4584</v>
      </c>
      <c r="I102" s="14">
        <v>696</v>
      </c>
      <c r="J102" s="14">
        <v>512</v>
      </c>
      <c r="K102" s="14">
        <f>162+222+189</f>
        <v>573</v>
      </c>
      <c r="L102" s="15">
        <f t="shared" si="4"/>
        <v>1781</v>
      </c>
      <c r="M102" s="16">
        <f t="shared" si="5"/>
        <v>0.38852530541012215</v>
      </c>
      <c r="N102" s="17">
        <v>2115</v>
      </c>
      <c r="O102" s="18">
        <f t="shared" si="6"/>
        <v>0.46138743455497383</v>
      </c>
      <c r="P102" s="21" t="s">
        <v>237</v>
      </c>
      <c r="Q102" s="20">
        <f t="shared" si="7"/>
        <v>0</v>
      </c>
    </row>
    <row r="103" spans="1:19" ht="15.5" x14ac:dyDescent="0.35">
      <c r="A103" s="1" t="s">
        <v>53</v>
      </c>
      <c r="B103" s="3" t="s">
        <v>62</v>
      </c>
      <c r="C103" s="1">
        <v>1</v>
      </c>
      <c r="D103" s="1">
        <v>0</v>
      </c>
      <c r="E103" s="1">
        <v>2019</v>
      </c>
      <c r="F103" s="1">
        <v>2020</v>
      </c>
      <c r="G103" s="13" t="s">
        <v>83</v>
      </c>
      <c r="H103" s="14">
        <v>2899</v>
      </c>
      <c r="I103" s="14">
        <v>742</v>
      </c>
      <c r="J103" s="14">
        <v>388</v>
      </c>
      <c r="K103" s="14">
        <v>0</v>
      </c>
      <c r="L103" s="15">
        <f t="shared" si="4"/>
        <v>1130</v>
      </c>
      <c r="M103" s="16">
        <f t="shared" si="5"/>
        <v>0.38978958261469471</v>
      </c>
      <c r="N103" s="17">
        <v>1458</v>
      </c>
      <c r="O103" s="18">
        <f t="shared" si="6"/>
        <v>0.50293204553294235</v>
      </c>
      <c r="P103" s="21" t="s">
        <v>237</v>
      </c>
      <c r="Q103" s="20">
        <f t="shared" si="7"/>
        <v>0</v>
      </c>
    </row>
    <row r="104" spans="1:19" ht="15.5" x14ac:dyDescent="0.35">
      <c r="A104" s="1" t="s">
        <v>53</v>
      </c>
      <c r="B104" s="3" t="s">
        <v>143</v>
      </c>
      <c r="C104" s="1">
        <v>1</v>
      </c>
      <c r="D104" s="1">
        <v>0</v>
      </c>
      <c r="E104" s="1">
        <v>2019</v>
      </c>
      <c r="F104" s="1">
        <v>2020</v>
      </c>
      <c r="G104" s="13" t="s">
        <v>270</v>
      </c>
      <c r="H104" s="14">
        <v>1035</v>
      </c>
      <c r="I104" s="14">
        <v>0</v>
      </c>
      <c r="J104" s="14">
        <v>0</v>
      </c>
      <c r="K104" s="14">
        <f>172+125+128</f>
        <v>425</v>
      </c>
      <c r="L104" s="15">
        <f t="shared" si="4"/>
        <v>425</v>
      </c>
      <c r="M104" s="16">
        <f t="shared" si="5"/>
        <v>0.41062801932367149</v>
      </c>
      <c r="N104" s="17">
        <v>569</v>
      </c>
      <c r="O104" s="18">
        <f t="shared" si="6"/>
        <v>0.54975845410628021</v>
      </c>
      <c r="P104" s="21" t="s">
        <v>237</v>
      </c>
      <c r="Q104" s="20">
        <f t="shared" si="7"/>
        <v>0</v>
      </c>
    </row>
    <row r="105" spans="1:19" ht="15.5" x14ac:dyDescent="0.35">
      <c r="A105" s="1" t="s">
        <v>53</v>
      </c>
      <c r="B105" s="3" t="s">
        <v>203</v>
      </c>
      <c r="C105" s="1">
        <v>1</v>
      </c>
      <c r="D105" s="1">
        <v>0</v>
      </c>
      <c r="E105" s="1">
        <v>2019</v>
      </c>
      <c r="F105" s="1">
        <v>2020</v>
      </c>
      <c r="G105" s="13" t="s">
        <v>271</v>
      </c>
      <c r="H105" s="14">
        <v>5748</v>
      </c>
      <c r="I105" s="14">
        <v>0</v>
      </c>
      <c r="J105" s="14">
        <v>0</v>
      </c>
      <c r="K105" s="14">
        <f>324+91+689+200+317+441+114+395+384+115+64+449+226</f>
        <v>3809</v>
      </c>
      <c r="L105" s="15">
        <f t="shared" si="4"/>
        <v>3809</v>
      </c>
      <c r="M105" s="16">
        <f t="shared" si="5"/>
        <v>0.66266527487821847</v>
      </c>
      <c r="N105" s="17">
        <v>4283</v>
      </c>
      <c r="O105" s="18">
        <f t="shared" si="6"/>
        <v>0.74512874043145438</v>
      </c>
      <c r="P105" s="21" t="s">
        <v>237</v>
      </c>
      <c r="Q105" s="20">
        <f t="shared" si="7"/>
        <v>0</v>
      </c>
    </row>
    <row r="106" spans="1:19" ht="15.5" x14ac:dyDescent="0.35">
      <c r="A106" s="1" t="s">
        <v>53</v>
      </c>
      <c r="B106" s="3" t="s">
        <v>31</v>
      </c>
      <c r="C106" s="1">
        <v>1</v>
      </c>
      <c r="D106" s="1">
        <v>0</v>
      </c>
      <c r="E106" s="1">
        <v>2019</v>
      </c>
      <c r="F106" s="1">
        <v>2020</v>
      </c>
      <c r="G106" s="13" t="s">
        <v>84</v>
      </c>
      <c r="H106" s="14">
        <v>1142</v>
      </c>
      <c r="I106" s="14">
        <v>11</v>
      </c>
      <c r="J106" s="14">
        <v>24</v>
      </c>
      <c r="K106" s="14">
        <v>0</v>
      </c>
      <c r="L106" s="15">
        <f t="shared" si="4"/>
        <v>35</v>
      </c>
      <c r="M106" s="16">
        <f t="shared" si="5"/>
        <v>3.0647985989492119E-2</v>
      </c>
      <c r="N106" s="22" t="s">
        <v>237</v>
      </c>
      <c r="O106" s="18">
        <f t="shared" si="6"/>
        <v>0</v>
      </c>
      <c r="P106" s="23">
        <v>127</v>
      </c>
      <c r="Q106" s="20">
        <f t="shared" si="7"/>
        <v>0.11120840630472854</v>
      </c>
      <c r="S106" s="5" t="s">
        <v>231</v>
      </c>
    </row>
    <row r="107" spans="1:19" ht="15.5" x14ac:dyDescent="0.35">
      <c r="A107" s="1" t="s">
        <v>53</v>
      </c>
      <c r="B107" s="3" t="s">
        <v>118</v>
      </c>
      <c r="C107" s="1">
        <v>1</v>
      </c>
      <c r="D107" s="1">
        <v>0</v>
      </c>
      <c r="E107" s="1">
        <v>2019</v>
      </c>
      <c r="F107" s="1">
        <v>2020</v>
      </c>
      <c r="G107" s="13" t="s">
        <v>223</v>
      </c>
      <c r="H107" s="14">
        <v>3835</v>
      </c>
      <c r="I107" s="14">
        <v>217</v>
      </c>
      <c r="J107" s="14">
        <v>125</v>
      </c>
      <c r="K107" s="14">
        <f>389+159+393+339</f>
        <v>1280</v>
      </c>
      <c r="L107" s="15">
        <f t="shared" si="4"/>
        <v>1622</v>
      </c>
      <c r="M107" s="16">
        <f t="shared" si="5"/>
        <v>0.42294654498044326</v>
      </c>
      <c r="N107" s="17">
        <v>2004</v>
      </c>
      <c r="O107" s="18">
        <f t="shared" si="6"/>
        <v>0.52255541069100386</v>
      </c>
      <c r="P107" s="21" t="s">
        <v>237</v>
      </c>
      <c r="Q107" s="20">
        <f t="shared" si="7"/>
        <v>0</v>
      </c>
    </row>
    <row r="108" spans="1:19" ht="15.5" x14ac:dyDescent="0.35">
      <c r="A108" s="1" t="s">
        <v>53</v>
      </c>
      <c r="B108" s="3" t="s">
        <v>177</v>
      </c>
      <c r="C108" s="1">
        <v>1</v>
      </c>
      <c r="D108" s="1">
        <v>0</v>
      </c>
      <c r="E108" s="1">
        <v>2019</v>
      </c>
      <c r="F108" s="1">
        <v>2020</v>
      </c>
      <c r="G108" s="13" t="s">
        <v>272</v>
      </c>
      <c r="H108" s="14">
        <v>1332</v>
      </c>
      <c r="I108" s="14">
        <v>368</v>
      </c>
      <c r="J108" s="14">
        <v>159</v>
      </c>
      <c r="K108" s="14">
        <v>0</v>
      </c>
      <c r="L108" s="15">
        <f t="shared" si="4"/>
        <v>527</v>
      </c>
      <c r="M108" s="16">
        <f t="shared" si="5"/>
        <v>0.39564564564564564</v>
      </c>
      <c r="N108" s="17">
        <v>748</v>
      </c>
      <c r="O108" s="18">
        <f t="shared" si="6"/>
        <v>0.56156156156156156</v>
      </c>
      <c r="P108" s="21" t="s">
        <v>237</v>
      </c>
      <c r="Q108" s="20">
        <f t="shared" si="7"/>
        <v>0</v>
      </c>
    </row>
    <row r="109" spans="1:19" ht="15.5" x14ac:dyDescent="0.35">
      <c r="A109" s="1" t="s">
        <v>53</v>
      </c>
      <c r="B109" s="3" t="s">
        <v>10</v>
      </c>
      <c r="C109" s="1">
        <v>1</v>
      </c>
      <c r="D109" s="1">
        <v>0</v>
      </c>
      <c r="E109" s="1">
        <v>2019</v>
      </c>
      <c r="F109" s="1">
        <v>2020</v>
      </c>
      <c r="G109" s="13" t="s">
        <v>165</v>
      </c>
      <c r="H109" s="14">
        <v>19726</v>
      </c>
      <c r="I109" s="14">
        <v>2999</v>
      </c>
      <c r="J109" s="14">
        <v>1599</v>
      </c>
      <c r="K109" s="14">
        <f>197+213+252+240+272+108+240+183+267+440+313+356+42+559</f>
        <v>3682</v>
      </c>
      <c r="L109" s="15">
        <f t="shared" si="4"/>
        <v>8280</v>
      </c>
      <c r="M109" s="16">
        <f t="shared" si="5"/>
        <v>0.41975058298692081</v>
      </c>
      <c r="N109" s="17">
        <v>10177</v>
      </c>
      <c r="O109" s="18">
        <f t="shared" si="6"/>
        <v>0.51591807766399678</v>
      </c>
      <c r="P109" s="21" t="s">
        <v>237</v>
      </c>
      <c r="Q109" s="20">
        <f t="shared" si="7"/>
        <v>0</v>
      </c>
    </row>
    <row r="110" spans="1:19" ht="15.5" x14ac:dyDescent="0.35">
      <c r="A110" s="1" t="s">
        <v>53</v>
      </c>
      <c r="B110" s="3" t="s">
        <v>63</v>
      </c>
      <c r="C110" s="1">
        <v>1</v>
      </c>
      <c r="D110" s="1">
        <v>0</v>
      </c>
      <c r="E110" s="1">
        <v>2019</v>
      </c>
      <c r="F110" s="1">
        <v>2020</v>
      </c>
      <c r="G110" s="13" t="s">
        <v>273</v>
      </c>
      <c r="H110" s="14">
        <v>6539</v>
      </c>
      <c r="I110" s="14">
        <v>1424</v>
      </c>
      <c r="J110" s="14">
        <v>1171</v>
      </c>
      <c r="K110" s="14">
        <f>282+260+337+367</f>
        <v>1246</v>
      </c>
      <c r="L110" s="15">
        <f t="shared" si="4"/>
        <v>3841</v>
      </c>
      <c r="M110" s="16">
        <f t="shared" si="5"/>
        <v>0.58739868481419177</v>
      </c>
      <c r="N110" s="17">
        <v>2815</v>
      </c>
      <c r="O110" s="18">
        <f t="shared" si="6"/>
        <v>0.4304939593209971</v>
      </c>
      <c r="P110" s="23">
        <v>3638</v>
      </c>
      <c r="Q110" s="20">
        <f t="shared" si="7"/>
        <v>0.55635418259672731</v>
      </c>
    </row>
    <row r="111" spans="1:19" ht="15.5" x14ac:dyDescent="0.35">
      <c r="A111" s="1" t="s">
        <v>53</v>
      </c>
      <c r="B111" s="3" t="s">
        <v>119</v>
      </c>
      <c r="C111" s="1">
        <v>1</v>
      </c>
      <c r="D111" s="1">
        <v>0</v>
      </c>
      <c r="E111" s="1">
        <v>2019</v>
      </c>
      <c r="F111" s="1">
        <v>2020</v>
      </c>
      <c r="G111" s="13" t="s">
        <v>274</v>
      </c>
      <c r="H111" s="14">
        <v>4293</v>
      </c>
      <c r="I111" s="14">
        <v>0</v>
      </c>
      <c r="J111" s="14">
        <v>0</v>
      </c>
      <c r="K111" s="14">
        <f>397+467+553+595+416+246</f>
        <v>2674</v>
      </c>
      <c r="L111" s="15">
        <f t="shared" si="4"/>
        <v>2674</v>
      </c>
      <c r="M111" s="16">
        <f t="shared" si="5"/>
        <v>0.62287444677381787</v>
      </c>
      <c r="N111" s="17">
        <v>2729</v>
      </c>
      <c r="O111" s="18">
        <f t="shared" si="6"/>
        <v>0.63568600046587465</v>
      </c>
      <c r="P111" s="21" t="s">
        <v>237</v>
      </c>
      <c r="Q111" s="20">
        <f t="shared" si="7"/>
        <v>0</v>
      </c>
    </row>
    <row r="112" spans="1:19" ht="15.5" x14ac:dyDescent="0.35">
      <c r="A112" s="1" t="s">
        <v>53</v>
      </c>
      <c r="B112" s="3" t="s">
        <v>178</v>
      </c>
      <c r="C112" s="1">
        <v>1</v>
      </c>
      <c r="D112" s="1">
        <v>0</v>
      </c>
      <c r="E112" s="1">
        <v>2019</v>
      </c>
      <c r="F112" s="1">
        <v>2020</v>
      </c>
      <c r="G112" s="13" t="s">
        <v>275</v>
      </c>
      <c r="H112" s="14">
        <v>8290</v>
      </c>
      <c r="I112" s="14">
        <v>644</v>
      </c>
      <c r="J112" s="14">
        <v>324</v>
      </c>
      <c r="K112" s="14">
        <f>223+186+195+115+132+307+280+245+154+305+154+367+358+162+139+109+26+18</f>
        <v>3475</v>
      </c>
      <c r="L112" s="15">
        <f t="shared" si="4"/>
        <v>4443</v>
      </c>
      <c r="M112" s="16">
        <f t="shared" si="5"/>
        <v>0.53594692400482513</v>
      </c>
      <c r="N112" s="17">
        <v>5393</v>
      </c>
      <c r="O112" s="18">
        <f t="shared" si="6"/>
        <v>0.65054282267792518</v>
      </c>
      <c r="P112" s="21" t="s">
        <v>237</v>
      </c>
      <c r="Q112" s="20">
        <f t="shared" si="7"/>
        <v>0</v>
      </c>
    </row>
    <row r="113" spans="1:19" ht="15.5" x14ac:dyDescent="0.35">
      <c r="A113" s="1" t="s">
        <v>53</v>
      </c>
      <c r="B113" s="3" t="s">
        <v>32</v>
      </c>
      <c r="C113" s="1">
        <v>1</v>
      </c>
      <c r="D113" s="1">
        <v>0</v>
      </c>
      <c r="E113" s="1">
        <v>2019</v>
      </c>
      <c r="F113" s="1">
        <v>2020</v>
      </c>
      <c r="G113" s="13" t="s">
        <v>276</v>
      </c>
      <c r="H113" s="14">
        <v>1916</v>
      </c>
      <c r="I113" s="14">
        <v>0</v>
      </c>
      <c r="J113" s="14">
        <v>0</v>
      </c>
      <c r="K113" s="14">
        <f>284+314+342+245+96</f>
        <v>1281</v>
      </c>
      <c r="L113" s="15">
        <f t="shared" si="4"/>
        <v>1281</v>
      </c>
      <c r="M113" s="16">
        <f t="shared" si="5"/>
        <v>0.66858037578288099</v>
      </c>
      <c r="N113" s="17">
        <v>1385</v>
      </c>
      <c r="O113" s="18">
        <f t="shared" si="6"/>
        <v>0.72286012526096033</v>
      </c>
      <c r="P113" s="21" t="s">
        <v>237</v>
      </c>
      <c r="Q113" s="20">
        <f t="shared" si="7"/>
        <v>0</v>
      </c>
    </row>
    <row r="114" spans="1:19" ht="15.5" x14ac:dyDescent="0.35">
      <c r="A114" s="1" t="s">
        <v>53</v>
      </c>
      <c r="B114" s="3" t="s">
        <v>85</v>
      </c>
      <c r="C114" s="1">
        <v>1</v>
      </c>
      <c r="D114" s="1">
        <v>0</v>
      </c>
      <c r="E114" s="1">
        <v>2019</v>
      </c>
      <c r="F114" s="1">
        <v>2020</v>
      </c>
      <c r="G114" s="13" t="s">
        <v>277</v>
      </c>
      <c r="H114" s="14">
        <v>28468</v>
      </c>
      <c r="I114" s="14">
        <v>0</v>
      </c>
      <c r="J114" s="14">
        <v>0</v>
      </c>
      <c r="K114" s="14">
        <f>185+409+547+326+334+321+266+314+192+485+250+384+203+261+608+108+360+217+475+261+324+371+247+467+514+229+310+194+127+561+23+629+624+125+451+242+481+291+80+88+24+52+253+274+52</f>
        <v>13539</v>
      </c>
      <c r="L114" s="15">
        <f t="shared" si="4"/>
        <v>13539</v>
      </c>
      <c r="M114" s="16">
        <f t="shared" si="5"/>
        <v>0.47558662357734999</v>
      </c>
      <c r="N114" s="17">
        <v>18482</v>
      </c>
      <c r="O114" s="18">
        <f t="shared" si="6"/>
        <v>0.64922017704088797</v>
      </c>
      <c r="P114" s="21" t="s">
        <v>237</v>
      </c>
      <c r="Q114" s="20">
        <f t="shared" si="7"/>
        <v>0</v>
      </c>
    </row>
    <row r="115" spans="1:19" ht="15.5" x14ac:dyDescent="0.35">
      <c r="A115" s="1" t="s">
        <v>53</v>
      </c>
      <c r="B115" s="3" t="s">
        <v>144</v>
      </c>
      <c r="C115" s="1">
        <v>1</v>
      </c>
      <c r="D115" s="1">
        <v>0</v>
      </c>
      <c r="E115" s="1">
        <v>2019</v>
      </c>
      <c r="F115" s="1">
        <v>2020</v>
      </c>
      <c r="G115" s="13" t="s">
        <v>278</v>
      </c>
      <c r="H115" s="14">
        <v>29924</v>
      </c>
      <c r="I115" s="14">
        <v>3901</v>
      </c>
      <c r="J115" s="14">
        <v>2018</v>
      </c>
      <c r="K115" s="14">
        <f>627+250+273+184+525+234+371+407+254+61+213+378+344+591+291+267+327+276+259+239+121+421+290+102+177+241+284+437+143</f>
        <v>8587</v>
      </c>
      <c r="L115" s="15">
        <f t="shared" si="4"/>
        <v>14506</v>
      </c>
      <c r="M115" s="16">
        <f t="shared" si="5"/>
        <v>0.48476139553535624</v>
      </c>
      <c r="N115" s="17">
        <v>18963</v>
      </c>
      <c r="O115" s="18">
        <f t="shared" si="6"/>
        <v>0.63370538698035017</v>
      </c>
      <c r="P115" s="21" t="s">
        <v>237</v>
      </c>
      <c r="Q115" s="20">
        <f t="shared" si="7"/>
        <v>0</v>
      </c>
    </row>
    <row r="116" spans="1:19" ht="15.5" x14ac:dyDescent="0.35">
      <c r="A116" s="1" t="s">
        <v>53</v>
      </c>
      <c r="B116" s="3" t="s">
        <v>204</v>
      </c>
      <c r="C116" s="1">
        <v>1</v>
      </c>
      <c r="D116" s="1">
        <v>0</v>
      </c>
      <c r="E116" s="1">
        <v>2019</v>
      </c>
      <c r="F116" s="1">
        <v>2020</v>
      </c>
      <c r="G116" s="13" t="s">
        <v>279</v>
      </c>
      <c r="H116" s="14">
        <v>781</v>
      </c>
      <c r="I116" s="14">
        <v>0</v>
      </c>
      <c r="J116" s="14">
        <v>0</v>
      </c>
      <c r="K116" s="14">
        <f>145+315</f>
        <v>460</v>
      </c>
      <c r="L116" s="15">
        <f t="shared" si="4"/>
        <v>460</v>
      </c>
      <c r="M116" s="16">
        <f t="shared" si="5"/>
        <v>0.58898847631242002</v>
      </c>
      <c r="N116" s="17">
        <v>483</v>
      </c>
      <c r="O116" s="18">
        <f t="shared" si="6"/>
        <v>0.61843790012804101</v>
      </c>
      <c r="P116" s="21" t="s">
        <v>237</v>
      </c>
      <c r="Q116" s="20">
        <f t="shared" si="7"/>
        <v>0</v>
      </c>
    </row>
    <row r="117" spans="1:19" ht="15.5" x14ac:dyDescent="0.35">
      <c r="A117" s="1" t="s">
        <v>53</v>
      </c>
      <c r="B117" s="3" t="s">
        <v>64</v>
      </c>
      <c r="C117" s="1">
        <v>1</v>
      </c>
      <c r="D117" s="1">
        <v>0</v>
      </c>
      <c r="E117" s="1">
        <v>2019</v>
      </c>
      <c r="F117" s="1">
        <v>2020</v>
      </c>
      <c r="G117" s="13" t="s">
        <v>280</v>
      </c>
      <c r="H117" s="14">
        <v>4209</v>
      </c>
      <c r="I117" s="14">
        <v>0</v>
      </c>
      <c r="J117" s="14">
        <v>0</v>
      </c>
      <c r="K117" s="14">
        <f>387+526+318+300+367+419+593+45</f>
        <v>2955</v>
      </c>
      <c r="L117" s="15">
        <f t="shared" si="4"/>
        <v>2955</v>
      </c>
      <c r="M117" s="16">
        <f t="shared" si="5"/>
        <v>0.70206699928724159</v>
      </c>
      <c r="N117" s="17">
        <v>3361</v>
      </c>
      <c r="O117" s="18">
        <f t="shared" si="6"/>
        <v>0.79852696602518414</v>
      </c>
      <c r="P117" s="21" t="s">
        <v>237</v>
      </c>
      <c r="Q117" s="20">
        <f t="shared" si="7"/>
        <v>0</v>
      </c>
    </row>
    <row r="118" spans="1:19" ht="15.5" x14ac:dyDescent="0.35">
      <c r="A118" s="1" t="s">
        <v>53</v>
      </c>
      <c r="B118" s="3" t="s">
        <v>120</v>
      </c>
      <c r="C118" s="1">
        <v>1</v>
      </c>
      <c r="D118" s="1">
        <v>0</v>
      </c>
      <c r="E118" s="1">
        <v>2019</v>
      </c>
      <c r="F118" s="1">
        <v>2020</v>
      </c>
      <c r="G118" s="13" t="s">
        <v>281</v>
      </c>
      <c r="H118" s="14">
        <v>14077</v>
      </c>
      <c r="I118" s="14">
        <v>2269</v>
      </c>
      <c r="J118" s="14">
        <v>854</v>
      </c>
      <c r="K118" s="14">
        <f>307+248+594+351+367+586+295+328+447+347+377+100+95+35</f>
        <v>4477</v>
      </c>
      <c r="L118" s="15">
        <f t="shared" si="4"/>
        <v>7600</v>
      </c>
      <c r="M118" s="16">
        <f t="shared" si="5"/>
        <v>0.5398877601761739</v>
      </c>
      <c r="N118" s="17">
        <v>8822</v>
      </c>
      <c r="O118" s="18">
        <f t="shared" si="6"/>
        <v>0.62669602898344823</v>
      </c>
      <c r="P118" s="21" t="s">
        <v>237</v>
      </c>
      <c r="Q118" s="20">
        <f t="shared" si="7"/>
        <v>0</v>
      </c>
    </row>
    <row r="119" spans="1:19" ht="15.5" x14ac:dyDescent="0.35">
      <c r="A119" s="1" t="s">
        <v>53</v>
      </c>
      <c r="B119" s="3" t="s">
        <v>179</v>
      </c>
      <c r="C119" s="1">
        <v>1</v>
      </c>
      <c r="D119" s="1">
        <v>0</v>
      </c>
      <c r="E119" s="1">
        <v>2019</v>
      </c>
      <c r="F119" s="1">
        <v>2020</v>
      </c>
      <c r="G119" s="13" t="s">
        <v>11</v>
      </c>
      <c r="H119" s="14">
        <v>1616</v>
      </c>
      <c r="I119" s="14">
        <v>358</v>
      </c>
      <c r="J119" s="14">
        <v>219</v>
      </c>
      <c r="K119" s="14">
        <v>0</v>
      </c>
      <c r="L119" s="15">
        <f t="shared" si="4"/>
        <v>577</v>
      </c>
      <c r="M119" s="16">
        <f t="shared" si="5"/>
        <v>0.35705445544554454</v>
      </c>
      <c r="N119" s="17">
        <v>777</v>
      </c>
      <c r="O119" s="18">
        <f t="shared" si="6"/>
        <v>0.4808168316831683</v>
      </c>
      <c r="P119" s="21" t="s">
        <v>237</v>
      </c>
      <c r="Q119" s="20">
        <f t="shared" si="7"/>
        <v>0</v>
      </c>
    </row>
    <row r="120" spans="1:19" ht="15.5" x14ac:dyDescent="0.35">
      <c r="A120" s="1" t="s">
        <v>53</v>
      </c>
      <c r="B120" s="3" t="s">
        <v>12</v>
      </c>
      <c r="C120" s="1">
        <v>1</v>
      </c>
      <c r="D120" s="1">
        <v>0</v>
      </c>
      <c r="E120" s="1">
        <v>2019</v>
      </c>
      <c r="F120" s="1">
        <v>2020</v>
      </c>
      <c r="G120" s="13" t="s">
        <v>282</v>
      </c>
      <c r="H120" s="14">
        <v>22086</v>
      </c>
      <c r="I120" s="14">
        <v>0</v>
      </c>
      <c r="J120" s="14">
        <v>0</v>
      </c>
      <c r="K120" s="14">
        <f>298+688+634+275+390+448+246+673+123+355+514+427+590+220+83+322+494+47+167+244+402+299+139+436+489+639+16+387+329+231+193+45+185+315+526+100+214+369+459+207+439+198+555+218+119</f>
        <v>14747</v>
      </c>
      <c r="L120" s="15">
        <f t="shared" si="4"/>
        <v>14747</v>
      </c>
      <c r="M120" s="16">
        <f t="shared" si="5"/>
        <v>0.66770805034863712</v>
      </c>
      <c r="N120" s="17">
        <v>14627</v>
      </c>
      <c r="O120" s="18">
        <f t="shared" si="6"/>
        <v>0.66227474418183463</v>
      </c>
      <c r="P120" s="23">
        <v>14657</v>
      </c>
      <c r="Q120" s="20">
        <f t="shared" si="7"/>
        <v>0.66363307072353528</v>
      </c>
    </row>
    <row r="121" spans="1:19" ht="15.5" x14ac:dyDescent="0.35">
      <c r="A121" s="1" t="s">
        <v>53</v>
      </c>
      <c r="B121" s="3" t="s">
        <v>65</v>
      </c>
      <c r="C121" s="1">
        <v>1</v>
      </c>
      <c r="D121" s="1">
        <v>0</v>
      </c>
      <c r="E121" s="1">
        <v>2019</v>
      </c>
      <c r="F121" s="1">
        <v>2020</v>
      </c>
      <c r="G121" s="13" t="s">
        <v>283</v>
      </c>
      <c r="H121" s="14">
        <v>14014</v>
      </c>
      <c r="I121" s="14">
        <v>94</v>
      </c>
      <c r="J121" s="14">
        <v>61</v>
      </c>
      <c r="K121" s="14">
        <f>276+115+213+224+397+343+389+321+426+198+525+296+564+313+155+881+776+396+304+191+520+217+73+97</f>
        <v>8210</v>
      </c>
      <c r="L121" s="15">
        <f t="shared" si="4"/>
        <v>8365</v>
      </c>
      <c r="M121" s="16">
        <f t="shared" si="5"/>
        <v>0.59690309690309695</v>
      </c>
      <c r="N121" s="22" t="s">
        <v>237</v>
      </c>
      <c r="O121" s="18">
        <f t="shared" si="6"/>
        <v>0</v>
      </c>
      <c r="P121" s="23">
        <v>8203</v>
      </c>
      <c r="Q121" s="20">
        <f t="shared" si="7"/>
        <v>0.5853432282003711</v>
      </c>
      <c r="S121" s="5" t="s">
        <v>232</v>
      </c>
    </row>
    <row r="122" spans="1:19" ht="15.5" x14ac:dyDescent="0.35">
      <c r="A122" s="1" t="s">
        <v>53</v>
      </c>
      <c r="B122" s="3" t="s">
        <v>205</v>
      </c>
      <c r="C122" s="1">
        <v>1</v>
      </c>
      <c r="D122" s="1">
        <v>0</v>
      </c>
      <c r="E122" s="1">
        <v>2019</v>
      </c>
      <c r="F122" s="1">
        <v>2020</v>
      </c>
      <c r="G122" s="13" t="s">
        <v>49</v>
      </c>
      <c r="H122" s="14">
        <v>2753</v>
      </c>
      <c r="I122" s="14">
        <v>505</v>
      </c>
      <c r="J122" s="14">
        <v>360</v>
      </c>
      <c r="K122" s="14">
        <f>164+206+262+70</f>
        <v>702</v>
      </c>
      <c r="L122" s="15">
        <f t="shared" si="4"/>
        <v>1567</v>
      </c>
      <c r="M122" s="16">
        <f t="shared" si="5"/>
        <v>0.56919723937522704</v>
      </c>
      <c r="N122" s="22" t="s">
        <v>237</v>
      </c>
      <c r="O122" s="18">
        <f t="shared" si="6"/>
        <v>0</v>
      </c>
      <c r="P122" s="23">
        <v>1234</v>
      </c>
      <c r="Q122" s="20">
        <f t="shared" si="7"/>
        <v>0.44823828550671996</v>
      </c>
      <c r="S122" s="5" t="s">
        <v>232</v>
      </c>
    </row>
    <row r="123" spans="1:19" ht="15.5" x14ac:dyDescent="0.35">
      <c r="A123" s="1" t="s">
        <v>53</v>
      </c>
      <c r="B123" s="3" t="s">
        <v>33</v>
      </c>
      <c r="C123" s="1">
        <v>1</v>
      </c>
      <c r="D123" s="1">
        <v>0</v>
      </c>
      <c r="E123" s="1">
        <v>2019</v>
      </c>
      <c r="F123" s="1">
        <v>2020</v>
      </c>
      <c r="G123" s="13" t="s">
        <v>180</v>
      </c>
      <c r="H123" s="14">
        <v>14375</v>
      </c>
      <c r="I123" s="14">
        <v>2058</v>
      </c>
      <c r="J123" s="14">
        <v>947</v>
      </c>
      <c r="K123" s="14">
        <f>263+346+313+411+371</f>
        <v>1704</v>
      </c>
      <c r="L123" s="15">
        <f t="shared" si="4"/>
        <v>4709</v>
      </c>
      <c r="M123" s="16">
        <f t="shared" si="5"/>
        <v>0.3275826086956522</v>
      </c>
      <c r="N123" s="17">
        <v>6063</v>
      </c>
      <c r="O123" s="18">
        <f t="shared" si="6"/>
        <v>0.42177391304347828</v>
      </c>
      <c r="P123" s="21" t="s">
        <v>237</v>
      </c>
      <c r="Q123" s="20">
        <f t="shared" si="7"/>
        <v>0</v>
      </c>
    </row>
    <row r="124" spans="1:19" ht="15.5" x14ac:dyDescent="0.35">
      <c r="A124" s="1" t="s">
        <v>53</v>
      </c>
      <c r="B124" s="3" t="s">
        <v>86</v>
      </c>
      <c r="C124" s="1">
        <v>1</v>
      </c>
      <c r="D124" s="1">
        <v>0</v>
      </c>
      <c r="E124" s="1">
        <v>2019</v>
      </c>
      <c r="F124" s="1">
        <v>2020</v>
      </c>
      <c r="G124" s="13" t="s">
        <v>160</v>
      </c>
      <c r="H124" s="14">
        <v>68772</v>
      </c>
      <c r="I124" s="14">
        <v>7277</v>
      </c>
      <c r="J124" s="14">
        <v>6082</v>
      </c>
      <c r="K124" s="14">
        <f>269+284+276+306+253+344</f>
        <v>1732</v>
      </c>
      <c r="L124" s="15">
        <f t="shared" si="4"/>
        <v>15091</v>
      </c>
      <c r="M124" s="16">
        <f t="shared" si="5"/>
        <v>0.21943523527016809</v>
      </c>
      <c r="N124" s="17">
        <v>19998</v>
      </c>
      <c r="O124" s="18">
        <f t="shared" si="6"/>
        <v>0.29078694817658352</v>
      </c>
      <c r="P124" s="21" t="s">
        <v>237</v>
      </c>
      <c r="Q124" s="20">
        <f t="shared" si="7"/>
        <v>0</v>
      </c>
    </row>
    <row r="125" spans="1:19" ht="15.5" x14ac:dyDescent="0.35">
      <c r="A125" s="1" t="s">
        <v>53</v>
      </c>
      <c r="B125" s="3" t="s">
        <v>13</v>
      </c>
      <c r="C125" s="1">
        <v>1</v>
      </c>
      <c r="D125" s="1">
        <v>0</v>
      </c>
      <c r="E125" s="1">
        <v>2019</v>
      </c>
      <c r="F125" s="1">
        <v>2020</v>
      </c>
      <c r="G125" s="13" t="s">
        <v>284</v>
      </c>
      <c r="H125" s="14">
        <v>3067</v>
      </c>
      <c r="I125" s="14">
        <v>720</v>
      </c>
      <c r="J125" s="14">
        <v>604</v>
      </c>
      <c r="K125" s="14">
        <f>137+114+262</f>
        <v>513</v>
      </c>
      <c r="L125" s="15">
        <f t="shared" si="4"/>
        <v>1837</v>
      </c>
      <c r="M125" s="16">
        <f t="shared" si="5"/>
        <v>0.5989566351483534</v>
      </c>
      <c r="N125" s="17">
        <v>1764</v>
      </c>
      <c r="O125" s="18">
        <f t="shared" si="6"/>
        <v>0.57515487447016633</v>
      </c>
      <c r="P125" s="23">
        <v>1813</v>
      </c>
      <c r="Q125" s="20">
        <f t="shared" si="7"/>
        <v>0.59113139876100429</v>
      </c>
    </row>
    <row r="126" spans="1:19" ht="15.5" x14ac:dyDescent="0.35">
      <c r="A126" s="1" t="s">
        <v>53</v>
      </c>
      <c r="B126" s="3" t="s">
        <v>66</v>
      </c>
      <c r="C126" s="1">
        <v>1</v>
      </c>
      <c r="D126" s="1">
        <v>0</v>
      </c>
      <c r="E126" s="1">
        <v>2019</v>
      </c>
      <c r="F126" s="1">
        <v>2020</v>
      </c>
      <c r="G126" s="13" t="s">
        <v>100</v>
      </c>
      <c r="H126" s="14">
        <v>11905</v>
      </c>
      <c r="I126" s="14">
        <v>1479</v>
      </c>
      <c r="J126" s="14">
        <v>1206</v>
      </c>
      <c r="K126" s="14">
        <v>0</v>
      </c>
      <c r="L126" s="15">
        <f t="shared" si="4"/>
        <v>2685</v>
      </c>
      <c r="M126" s="16">
        <f t="shared" si="5"/>
        <v>0.22553548929021419</v>
      </c>
      <c r="N126" s="17">
        <v>3232</v>
      </c>
      <c r="O126" s="18">
        <f t="shared" si="6"/>
        <v>0.27148257034859302</v>
      </c>
      <c r="P126" s="21" t="s">
        <v>237</v>
      </c>
      <c r="Q126" s="20">
        <f t="shared" si="7"/>
        <v>0</v>
      </c>
    </row>
    <row r="127" spans="1:19" ht="15.5" x14ac:dyDescent="0.35">
      <c r="A127" s="1" t="s">
        <v>53</v>
      </c>
      <c r="B127" s="3" t="s">
        <v>121</v>
      </c>
      <c r="C127" s="1">
        <v>1</v>
      </c>
      <c r="D127" s="1">
        <v>0</v>
      </c>
      <c r="E127" s="1">
        <v>2019</v>
      </c>
      <c r="F127" s="1">
        <v>2020</v>
      </c>
      <c r="G127" s="13" t="s">
        <v>50</v>
      </c>
      <c r="H127" s="14">
        <v>4374</v>
      </c>
      <c r="I127" s="14">
        <v>999</v>
      </c>
      <c r="J127" s="14">
        <v>817</v>
      </c>
      <c r="K127" s="14">
        <f>245+235+126+281</f>
        <v>887</v>
      </c>
      <c r="L127" s="15">
        <f t="shared" si="4"/>
        <v>2703</v>
      </c>
      <c r="M127" s="16">
        <f t="shared" si="5"/>
        <v>0.61796982167352543</v>
      </c>
      <c r="N127" s="22" t="s">
        <v>237</v>
      </c>
      <c r="O127" s="18">
        <f t="shared" si="6"/>
        <v>0</v>
      </c>
      <c r="P127" s="23">
        <v>2208</v>
      </c>
      <c r="Q127" s="20">
        <f t="shared" si="7"/>
        <v>0.50480109739368995</v>
      </c>
      <c r="S127" s="5" t="s">
        <v>232</v>
      </c>
    </row>
    <row r="128" spans="1:19" ht="15.5" x14ac:dyDescent="0.35">
      <c r="A128" s="1" t="s">
        <v>53</v>
      </c>
      <c r="B128" s="3" t="s">
        <v>87</v>
      </c>
      <c r="C128" s="1">
        <v>1</v>
      </c>
      <c r="D128" s="1">
        <v>0</v>
      </c>
      <c r="E128" s="1">
        <v>2019</v>
      </c>
      <c r="F128" s="1">
        <v>2020</v>
      </c>
      <c r="G128" s="13" t="s">
        <v>285</v>
      </c>
      <c r="H128" s="14">
        <v>1090</v>
      </c>
      <c r="I128" s="14">
        <v>0</v>
      </c>
      <c r="J128" s="14">
        <v>0</v>
      </c>
      <c r="K128" s="14">
        <f>443+169+166</f>
        <v>778</v>
      </c>
      <c r="L128" s="15">
        <f t="shared" si="4"/>
        <v>778</v>
      </c>
      <c r="M128" s="16">
        <f t="shared" si="5"/>
        <v>0.71376146788990824</v>
      </c>
      <c r="N128" s="17">
        <v>926</v>
      </c>
      <c r="O128" s="18">
        <f t="shared" si="6"/>
        <v>0.84954128440366972</v>
      </c>
      <c r="P128" s="21" t="s">
        <v>237</v>
      </c>
      <c r="Q128" s="20">
        <f t="shared" si="7"/>
        <v>0</v>
      </c>
    </row>
    <row r="129" spans="1:17" ht="15.5" x14ac:dyDescent="0.35">
      <c r="A129" s="1" t="s">
        <v>53</v>
      </c>
      <c r="B129" s="3" t="s">
        <v>145</v>
      </c>
      <c r="C129" s="1">
        <v>1</v>
      </c>
      <c r="D129" s="1">
        <v>0</v>
      </c>
      <c r="E129" s="1">
        <v>2019</v>
      </c>
      <c r="F129" s="1">
        <v>2020</v>
      </c>
      <c r="G129" s="13" t="s">
        <v>14</v>
      </c>
      <c r="H129" s="14">
        <v>41645</v>
      </c>
      <c r="I129" s="14">
        <v>4196</v>
      </c>
      <c r="J129" s="14">
        <v>3266</v>
      </c>
      <c r="K129" s="14">
        <f>697+440+279+330+176+240+345+152</f>
        <v>2659</v>
      </c>
      <c r="L129" s="15">
        <f t="shared" si="4"/>
        <v>10121</v>
      </c>
      <c r="M129" s="16">
        <f t="shared" si="5"/>
        <v>0.24303037579541362</v>
      </c>
      <c r="N129" s="17">
        <v>13431</v>
      </c>
      <c r="O129" s="18">
        <f t="shared" si="6"/>
        <v>0.32251170608716534</v>
      </c>
      <c r="P129" s="21" t="s">
        <v>237</v>
      </c>
      <c r="Q129" s="20">
        <f t="shared" si="7"/>
        <v>0</v>
      </c>
    </row>
    <row r="130" spans="1:17" ht="15.5" x14ac:dyDescent="0.35">
      <c r="A130" s="1" t="s">
        <v>53</v>
      </c>
      <c r="B130" s="3" t="s">
        <v>206</v>
      </c>
      <c r="C130" s="1">
        <v>1</v>
      </c>
      <c r="D130" s="1">
        <v>0</v>
      </c>
      <c r="E130" s="1">
        <v>2019</v>
      </c>
      <c r="F130" s="1">
        <v>2020</v>
      </c>
      <c r="G130" s="13" t="s">
        <v>34</v>
      </c>
      <c r="H130" s="14">
        <v>513</v>
      </c>
      <c r="I130" s="14">
        <v>36</v>
      </c>
      <c r="J130" s="14">
        <v>40</v>
      </c>
      <c r="K130" s="14">
        <v>0</v>
      </c>
      <c r="L130" s="15">
        <f t="shared" si="4"/>
        <v>76</v>
      </c>
      <c r="M130" s="16">
        <f t="shared" si="5"/>
        <v>0.14814814814814814</v>
      </c>
      <c r="N130" s="17">
        <v>121</v>
      </c>
      <c r="O130" s="18">
        <f t="shared" si="6"/>
        <v>0.23586744639376217</v>
      </c>
      <c r="P130" s="21" t="s">
        <v>237</v>
      </c>
      <c r="Q130" s="20">
        <f t="shared" si="7"/>
        <v>0</v>
      </c>
    </row>
    <row r="131" spans="1:17" ht="15.5" x14ac:dyDescent="0.35">
      <c r="A131" s="1" t="s">
        <v>53</v>
      </c>
      <c r="B131" s="3" t="s">
        <v>88</v>
      </c>
      <c r="C131" s="1">
        <v>1</v>
      </c>
      <c r="D131" s="1">
        <v>0</v>
      </c>
      <c r="E131" s="1">
        <v>2019</v>
      </c>
      <c r="F131" s="1">
        <v>2020</v>
      </c>
      <c r="G131" s="13" t="s">
        <v>89</v>
      </c>
      <c r="H131" s="14">
        <v>3963</v>
      </c>
      <c r="I131" s="14">
        <v>499</v>
      </c>
      <c r="J131" s="14">
        <v>470</v>
      </c>
      <c r="K131" s="14">
        <v>0</v>
      </c>
      <c r="L131" s="15">
        <f t="shared" si="4"/>
        <v>969</v>
      </c>
      <c r="M131" s="16">
        <f t="shared" si="5"/>
        <v>0.24451173353520061</v>
      </c>
      <c r="N131" s="17">
        <v>1434</v>
      </c>
      <c r="O131" s="18">
        <f t="shared" si="6"/>
        <v>0.36184708554125661</v>
      </c>
      <c r="P131" s="21" t="s">
        <v>237</v>
      </c>
      <c r="Q131" s="20">
        <f t="shared" si="7"/>
        <v>0</v>
      </c>
    </row>
    <row r="132" spans="1:17" ht="15.5" x14ac:dyDescent="0.35">
      <c r="A132" s="1" t="s">
        <v>53</v>
      </c>
      <c r="B132" s="3" t="s">
        <v>90</v>
      </c>
      <c r="C132" s="1">
        <v>1</v>
      </c>
      <c r="D132" s="1">
        <v>0</v>
      </c>
      <c r="E132" s="1">
        <v>2019</v>
      </c>
      <c r="F132" s="1">
        <v>2020</v>
      </c>
      <c r="G132" s="13" t="s">
        <v>122</v>
      </c>
      <c r="H132" s="14">
        <v>2124</v>
      </c>
      <c r="I132" s="14">
        <v>99</v>
      </c>
      <c r="J132" s="14">
        <v>130</v>
      </c>
      <c r="K132" s="14">
        <v>0</v>
      </c>
      <c r="L132" s="15">
        <f t="shared" si="4"/>
        <v>229</v>
      </c>
      <c r="M132" s="16">
        <f t="shared" si="5"/>
        <v>0.10781544256120527</v>
      </c>
      <c r="N132" s="17">
        <v>345</v>
      </c>
      <c r="O132" s="18">
        <f t="shared" si="6"/>
        <v>0.16242937853107345</v>
      </c>
      <c r="P132" s="21" t="s">
        <v>237</v>
      </c>
      <c r="Q132" s="20">
        <f t="shared" si="7"/>
        <v>0</v>
      </c>
    </row>
    <row r="133" spans="1:17" ht="15.5" x14ac:dyDescent="0.35">
      <c r="A133" s="1" t="s">
        <v>53</v>
      </c>
      <c r="B133" s="3" t="s">
        <v>146</v>
      </c>
      <c r="C133" s="1">
        <v>1</v>
      </c>
      <c r="D133" s="1">
        <v>0</v>
      </c>
      <c r="E133" s="1">
        <v>2019</v>
      </c>
      <c r="F133" s="1">
        <v>2020</v>
      </c>
      <c r="G133" s="13" t="s">
        <v>181</v>
      </c>
      <c r="H133" s="14">
        <v>7847</v>
      </c>
      <c r="I133" s="14">
        <v>1203</v>
      </c>
      <c r="J133" s="14">
        <v>1398</v>
      </c>
      <c r="K133" s="14">
        <v>0</v>
      </c>
      <c r="L133" s="15">
        <f t="shared" si="4"/>
        <v>2601</v>
      </c>
      <c r="M133" s="16">
        <f t="shared" si="5"/>
        <v>0.33146425385497641</v>
      </c>
      <c r="N133" s="17">
        <v>3890</v>
      </c>
      <c r="O133" s="18">
        <f t="shared" si="6"/>
        <v>0.49573085255511662</v>
      </c>
      <c r="P133" s="21" t="s">
        <v>237</v>
      </c>
      <c r="Q133" s="20">
        <f t="shared" si="7"/>
        <v>0</v>
      </c>
    </row>
    <row r="134" spans="1:17" ht="15.5" x14ac:dyDescent="0.35">
      <c r="A134" s="1" t="s">
        <v>53</v>
      </c>
      <c r="B134" s="3" t="s">
        <v>207</v>
      </c>
      <c r="C134" s="1">
        <v>1</v>
      </c>
      <c r="D134" s="1">
        <v>0</v>
      </c>
      <c r="E134" s="1">
        <v>2019</v>
      </c>
      <c r="F134" s="1">
        <v>2020</v>
      </c>
      <c r="G134" s="13" t="s">
        <v>208</v>
      </c>
      <c r="H134" s="14">
        <v>3672</v>
      </c>
      <c r="I134" s="14">
        <v>331</v>
      </c>
      <c r="J134" s="14">
        <v>655</v>
      </c>
      <c r="K134" s="14">
        <v>0</v>
      </c>
      <c r="L134" s="15">
        <f>SUM(I134+J134+K134)</f>
        <v>986</v>
      </c>
      <c r="M134" s="16">
        <f>L134/H134</f>
        <v>0.26851851851851855</v>
      </c>
      <c r="N134" s="17">
        <v>1395</v>
      </c>
      <c r="O134" s="18">
        <f>N134/H134</f>
        <v>0.37990196078431371</v>
      </c>
      <c r="P134" s="21" t="s">
        <v>237</v>
      </c>
      <c r="Q134" s="20">
        <f>P134/H134</f>
        <v>0</v>
      </c>
    </row>
    <row r="135" spans="1:17" ht="15.5" x14ac:dyDescent="0.35">
      <c r="A135" s="1" t="s">
        <v>53</v>
      </c>
      <c r="B135" s="3" t="s">
        <v>182</v>
      </c>
      <c r="C135" s="1">
        <v>1</v>
      </c>
      <c r="D135" s="1">
        <v>0</v>
      </c>
      <c r="E135" s="1">
        <v>2019</v>
      </c>
      <c r="F135" s="1">
        <v>2020</v>
      </c>
      <c r="G135" s="13" t="s">
        <v>286</v>
      </c>
      <c r="H135" s="14">
        <v>659</v>
      </c>
      <c r="I135" s="14">
        <v>0</v>
      </c>
      <c r="J135" s="14">
        <v>0</v>
      </c>
      <c r="K135" s="14">
        <f>91+187</f>
        <v>278</v>
      </c>
      <c r="L135" s="15">
        <f>SUM(I135+J135+K135)</f>
        <v>278</v>
      </c>
      <c r="M135" s="16">
        <f>L135/H135</f>
        <v>0.4218512898330804</v>
      </c>
      <c r="N135" s="17">
        <v>342</v>
      </c>
      <c r="O135" s="18">
        <f>N135/H135</f>
        <v>0.51896813353566007</v>
      </c>
      <c r="P135" s="21" t="s">
        <v>237</v>
      </c>
      <c r="Q135" s="20">
        <f>P135/H135</f>
        <v>0</v>
      </c>
    </row>
    <row r="136" spans="1:17" ht="15.5" x14ac:dyDescent="0.35">
      <c r="A136" s="1" t="s">
        <v>53</v>
      </c>
      <c r="B136" s="3" t="s">
        <v>35</v>
      </c>
      <c r="C136" s="1">
        <v>1</v>
      </c>
      <c r="D136" s="1">
        <v>0</v>
      </c>
      <c r="E136" s="1">
        <v>2019</v>
      </c>
      <c r="F136" s="1">
        <v>2020</v>
      </c>
      <c r="G136" s="25" t="s">
        <v>224</v>
      </c>
      <c r="H136" s="26">
        <v>806</v>
      </c>
      <c r="I136" s="26">
        <v>86</v>
      </c>
      <c r="J136" s="26">
        <v>62</v>
      </c>
      <c r="K136" s="26">
        <v>0</v>
      </c>
      <c r="L136" s="27">
        <f>SUM(I136+J136+K136)</f>
        <v>148</v>
      </c>
      <c r="M136" s="28">
        <f>L136/H136</f>
        <v>0.18362282878411912</v>
      </c>
      <c r="N136" s="29">
        <v>214</v>
      </c>
      <c r="O136" s="30">
        <f>N136/H136</f>
        <v>0.26550868486352358</v>
      </c>
      <c r="P136" s="31" t="s">
        <v>237</v>
      </c>
      <c r="Q136" s="32">
        <f>P136/H136</f>
        <v>0</v>
      </c>
    </row>
    <row r="137" spans="1:17" x14ac:dyDescent="0.35">
      <c r="A137" s="1"/>
      <c r="B137" s="1"/>
      <c r="C137" s="1"/>
      <c r="D137" s="1"/>
      <c r="E137" s="1"/>
      <c r="F137" s="1"/>
      <c r="G137" s="6" t="s">
        <v>288</v>
      </c>
      <c r="H137" s="1"/>
      <c r="I137" s="1"/>
      <c r="J137" s="1"/>
    </row>
  </sheetData>
  <mergeCells count="1">
    <mergeCell ref="G1:Q1"/>
  </mergeCells>
  <pageMargins left="0.25" right="0.25" top="0.75" bottom="0.75" header="0.3" footer="0.3"/>
  <pageSetup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4-15 LEA DW ISP Estimates</vt:lpstr>
      <vt:lpstr>'4-15 LEA DW ISP Estimates'!Print_Area</vt:lpstr>
      <vt:lpstr>'4-15 LEA DW ISP Estimates'!Print_Titles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A, SNP Memo #2019-2020-38, LEA ISP Calculations Oct 2019 vs Jan 2020</dc:title>
  <dc:subject/>
  <dc:creator>DOE NUTRITION</dc:creator>
  <cp:keywords>CEP ISP Divisionwide Estimates April 2020</cp:keywords>
  <dc:description/>
  <cp:lastModifiedBy>VITA Program</cp:lastModifiedBy>
  <cp:lastPrinted>2020-03-13T20:40:44Z</cp:lastPrinted>
  <dcterms:created xsi:type="dcterms:W3CDTF">2020-03-13T17:32:12Z</dcterms:created>
  <dcterms:modified xsi:type="dcterms:W3CDTF">2020-04-01T18:17:54Z</dcterms:modified>
  <cp:category/>
</cp:coreProperties>
</file>